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60" windowHeight="6795" activeTab="1"/>
  </bookViews>
  <sheets>
    <sheet name="Prototype Summaries" sheetId="1" r:id="rId1"/>
    <sheet name="Recommended Asset Allocation" sheetId="2" r:id="rId2"/>
    <sheet name="#8 Student Loan Schedule" sheetId="3" r:id="rId3"/>
    <sheet name="#8 Bridget's 401k" sheetId="4" r:id="rId4"/>
    <sheet name="401k Calculations for #6" sheetId="5" r:id="rId5"/>
  </sheets>
  <definedNames>
    <definedName name="_xlnm.Print_Area" localSheetId="0">'Prototype Summaries'!$A$3:$H$157</definedName>
    <definedName name="_xlnm.Print_Titles" localSheetId="0">'Prototype Summaries'!$3:$4</definedName>
  </definedNames>
  <calcPr fullCalcOnLoad="1"/>
</workbook>
</file>

<file path=xl/comments1.xml><?xml version="1.0" encoding="utf-8"?>
<comments xmlns="http://schemas.openxmlformats.org/spreadsheetml/2006/main">
  <authors>
    <author>Ann Dryden Witte</author>
    <author>Saundra Gulley</author>
    <author>AT</author>
    <author>lynn wang</author>
    <author>Wellesley College</author>
    <author>awitte</author>
  </authors>
  <commentList>
    <comment ref="B53" authorId="0">
      <text>
        <r>
          <rPr>
            <b/>
            <sz val="10"/>
            <rFont val="Tahoma"/>
            <family val="0"/>
          </rPr>
          <t>Ann Dryden Witte:</t>
        </r>
        <r>
          <rPr>
            <sz val="10"/>
            <rFont val="Tahoma"/>
            <family val="0"/>
          </rPr>
          <t xml:space="preserve">
Includes $1000 to prepare house to be Family Child Care Home</t>
        </r>
      </text>
    </comment>
    <comment ref="C31" authorId="0">
      <text>
        <r>
          <rPr>
            <b/>
            <sz val="10"/>
            <rFont val="Tahoma"/>
            <family val="0"/>
          </rPr>
          <t>Ann Dryden Witte:</t>
        </r>
        <r>
          <rPr>
            <sz val="10"/>
            <rFont val="Tahoma"/>
            <family val="0"/>
          </rPr>
          <t xml:space="preserve">
Massachussets has an refundable earned income credit (EIC) that is 15% of the federal EIC</t>
        </r>
      </text>
    </comment>
    <comment ref="B30" authorId="0">
      <text>
        <r>
          <rPr>
            <b/>
            <sz val="10"/>
            <rFont val="Tahoma"/>
            <family val="0"/>
          </rPr>
          <t>Ann Dryden Witte:</t>
        </r>
        <r>
          <rPr>
            <sz val="10"/>
            <rFont val="Tahoma"/>
            <family val="0"/>
          </rPr>
          <t xml:space="preserve">
2004 Earned Income Tax Credit</t>
        </r>
      </text>
    </comment>
    <comment ref="C71" authorId="0">
      <text>
        <r>
          <rPr>
            <b/>
            <sz val="10"/>
            <rFont val="Tahoma"/>
            <family val="0"/>
          </rPr>
          <t>Ann Dryden Witte: Can get learners permit at 16 1/2</t>
        </r>
        <r>
          <rPr>
            <sz val="10"/>
            <rFont val="Tahoma"/>
            <family val="0"/>
          </rPr>
          <t xml:space="preserve"> </t>
        </r>
      </text>
    </comment>
    <comment ref="D30" authorId="0">
      <text>
        <r>
          <rPr>
            <b/>
            <sz val="10"/>
            <rFont val="Tahoma"/>
            <family val="0"/>
          </rPr>
          <t>Ann Dryden Witte:</t>
        </r>
        <r>
          <rPr>
            <sz val="10"/>
            <rFont val="Tahoma"/>
            <family val="0"/>
          </rPr>
          <t xml:space="preserve">
Deductions $9406; 1 exemption; Taxable income $58944</t>
        </r>
      </text>
    </comment>
    <comment ref="D31" authorId="0">
      <text>
        <r>
          <rPr>
            <b/>
            <sz val="10"/>
            <rFont val="Tahoma"/>
            <family val="0"/>
          </rPr>
          <t>Ann Dryden Witte:</t>
        </r>
        <r>
          <rPr>
            <sz val="10"/>
            <rFont val="Tahoma"/>
            <family val="0"/>
          </rPr>
          <t xml:space="preserve">
IL has 3% flat income tax; pay on 63150 of taxable income</t>
        </r>
      </text>
    </comment>
    <comment ref="E30" authorId="0">
      <text>
        <r>
          <rPr>
            <b/>
            <sz val="10"/>
            <rFont val="Tahoma"/>
            <family val="0"/>
          </rPr>
          <t>Ann Dryden Witte:</t>
        </r>
        <r>
          <rPr>
            <sz val="10"/>
            <rFont val="Tahoma"/>
            <family val="0"/>
          </rPr>
          <t xml:space="preserve">
Property taxes $1775; Mortgage interest $6264; charitable $520;State income tax 5427 Taxable income $74214</t>
        </r>
      </text>
    </comment>
    <comment ref="E31" authorId="0">
      <text>
        <r>
          <rPr>
            <b/>
            <sz val="10"/>
            <rFont val="Tahoma"/>
            <family val="0"/>
          </rPr>
          <t>Ann Dryden Witte:</t>
        </r>
        <r>
          <rPr>
            <sz val="10"/>
            <rFont val="Tahoma"/>
            <family val="0"/>
          </rPr>
          <t xml:space="preserve">
Tax rate 9.3% on income over 40346; use calculator at http://www.ftb.ca.gov/individuals/tax_table/index.asp</t>
        </r>
      </text>
    </comment>
    <comment ref="D53" authorId="0">
      <text>
        <r>
          <rPr>
            <b/>
            <sz val="10"/>
            <rFont val="Tahoma"/>
            <family val="0"/>
          </rPr>
          <t>Ann Dryden Witte:
4000 maintenance + 767 property tax</t>
        </r>
        <r>
          <rPr>
            <sz val="10"/>
            <rFont val="Tahoma"/>
            <family val="0"/>
          </rPr>
          <t xml:space="preserve">
Chicago property tax: 1% of 1/3 of value. Source:http://www.barbarahomes.com/r_mortgage-calculator_rentvsbuy.asp &amp; www.chicagobar.org</t>
        </r>
      </text>
    </comment>
    <comment ref="D51" authorId="0">
      <text>
        <r>
          <rPr>
            <b/>
            <sz val="10"/>
            <rFont val="Tahoma"/>
            <family val="0"/>
          </rPr>
          <t>Ann Dryden Witte:</t>
        </r>
        <r>
          <rPr>
            <sz val="10"/>
            <rFont val="Tahoma"/>
            <family val="0"/>
          </rPr>
          <t xml:space="preserve">
6872 interest &amp; 9800-6872 principal</t>
        </r>
      </text>
    </comment>
    <comment ref="E51" authorId="0">
      <text>
        <r>
          <rPr>
            <b/>
            <sz val="10"/>
            <rFont val="Tahoma"/>
            <family val="0"/>
          </rPr>
          <t>Ann Dryden Witte:</t>
        </r>
        <r>
          <rPr>
            <sz val="10"/>
            <rFont val="Tahoma"/>
            <family val="0"/>
          </rPr>
          <t xml:space="preserve">
$6264 in interest rest to pay off principal</t>
        </r>
      </text>
    </comment>
    <comment ref="E53" authorId="0">
      <text>
        <r>
          <rPr>
            <b/>
            <sz val="10"/>
            <rFont val="Tahoma"/>
            <family val="0"/>
          </rPr>
          <t>Ann Dryden Witte:</t>
        </r>
        <r>
          <rPr>
            <sz val="10"/>
            <rFont val="Tahoma"/>
            <family val="0"/>
          </rPr>
          <t xml:space="preserve">
$5000 maintenance; property tax (Prop 13)--2% increases in assessed value per year ($92038 in 2005) + value of new consturction--asuume $50000--assessed value 142,038; tax rate 1.25%-2005 property tax=</t>
        </r>
      </text>
    </comment>
    <comment ref="E24" authorId="0">
      <text>
        <r>
          <rPr>
            <b/>
            <sz val="10"/>
            <rFont val="Tahoma"/>
            <family val="0"/>
          </rPr>
          <t>Ann Dryden Witte:</t>
        </r>
        <r>
          <rPr>
            <sz val="10"/>
            <rFont val="Tahoma"/>
            <family val="0"/>
          </rPr>
          <t xml:space="preserve">
Interest on CD--4% rate</t>
        </r>
      </text>
    </comment>
    <comment ref="E65" authorId="0">
      <text>
        <r>
          <rPr>
            <b/>
            <sz val="10"/>
            <rFont val="Tahoma"/>
            <family val="0"/>
          </rPr>
          <t>Ann Dryden Witte:</t>
        </r>
        <r>
          <rPr>
            <sz val="10"/>
            <rFont val="Tahoma"/>
            <family val="0"/>
          </rPr>
          <t xml:space="preserve">
Includes $100 per month payment to her parents</t>
        </r>
      </text>
    </comment>
    <comment ref="F53" authorId="0">
      <text>
        <r>
          <rPr>
            <b/>
            <sz val="10"/>
            <rFont val="Tahoma"/>
            <family val="0"/>
          </rPr>
          <t>Ann Dryden Witte:</t>
        </r>
        <r>
          <rPr>
            <sz val="10"/>
            <rFont val="Tahoma"/>
            <family val="0"/>
          </rPr>
          <t xml:space="preserve">
Harris County: homestead exemption 20% of assessed value, tax rate.04%</t>
        </r>
      </text>
    </comment>
    <comment ref="F77" authorId="0">
      <text>
        <r>
          <rPr>
            <b/>
            <sz val="10"/>
            <rFont val="Tahoma"/>
            <family val="0"/>
          </rPr>
          <t>Ann Dryden Witte:</t>
        </r>
        <r>
          <rPr>
            <sz val="10"/>
            <rFont val="Tahoma"/>
            <family val="0"/>
          </rPr>
          <t xml:space="preserve">
0% financing; 3 year loan--current balance $13,333</t>
        </r>
      </text>
    </comment>
    <comment ref="F24" authorId="0">
      <text>
        <r>
          <rPr>
            <b/>
            <sz val="10"/>
            <rFont val="Tahoma"/>
            <family val="0"/>
          </rPr>
          <t>Ann Dryden Witte:</t>
        </r>
        <r>
          <rPr>
            <sz val="10"/>
            <rFont val="Tahoma"/>
            <family val="0"/>
          </rPr>
          <t xml:space="preserve">
Money market pays 2.5%; 1% yield on money in stocks, bonds &amp; mutual funds</t>
        </r>
      </text>
    </comment>
    <comment ref="F31" authorId="0">
      <text>
        <r>
          <rPr>
            <b/>
            <sz val="10"/>
            <rFont val="Tahoma"/>
            <family val="0"/>
          </rPr>
          <t>Ann Dryden Witte:</t>
        </r>
        <r>
          <rPr>
            <sz val="10"/>
            <rFont val="Tahoma"/>
            <family val="0"/>
          </rPr>
          <t xml:space="preserve">
Texas has no state income tax</t>
        </r>
      </text>
    </comment>
    <comment ref="F30" authorId="0">
      <text>
        <r>
          <rPr>
            <b/>
            <sz val="10"/>
            <rFont val="Tahoma"/>
            <family val="0"/>
          </rPr>
          <t>Ann Dryden Witte:</t>
        </r>
        <r>
          <rPr>
            <sz val="10"/>
            <rFont val="Tahoma"/>
            <family val="0"/>
          </rPr>
          <t xml:space="preserve">
6 1/4% sales tax--tax table=1294 + $38,000 for car * .0614 (neither Harris County nor Houston have sales tax add on); 1200 child care credit; 2000 child credit</t>
        </r>
      </text>
    </comment>
    <comment ref="F51" authorId="0">
      <text>
        <r>
          <rPr>
            <b/>
            <sz val="10"/>
            <rFont val="Tahoma"/>
            <family val="0"/>
          </rPr>
          <t>Ann Dryden Witte:</t>
        </r>
        <r>
          <rPr>
            <sz val="10"/>
            <rFont val="Tahoma"/>
            <family val="0"/>
          </rPr>
          <t xml:space="preserve">
refinance 114,000 in 2002 at 6%; 2280 principal payment &amp; 5990 interest payment</t>
        </r>
      </text>
    </comment>
    <comment ref="F100" authorId="0">
      <text>
        <r>
          <rPr>
            <b/>
            <sz val="10"/>
            <rFont val="Tahoma"/>
            <family val="0"/>
          </rPr>
          <t xml:space="preserve">Ann Dryden Witte: $16000 in Roth IRA; $24000 in Traditional IRA; Return 3%-4% on average; </t>
        </r>
        <r>
          <rPr>
            <sz val="10"/>
            <rFont val="Tahoma"/>
            <family val="0"/>
          </rPr>
          <t xml:space="preserve">
Has contributed to Roth IRA for 5 years; for previous 5 years contributed to Traditional IRA; Total contribution to Roth IRA=$1000 in 2006; $10,000 to Traditional IRA by 2001</t>
        </r>
      </text>
    </comment>
    <comment ref="F87" authorId="0">
      <text>
        <r>
          <rPr>
            <b/>
            <sz val="10"/>
            <rFont val="Tahoma"/>
            <family val="0"/>
          </rPr>
          <t>Ann Dryden Witte:</t>
        </r>
        <r>
          <rPr>
            <sz val="10"/>
            <rFont val="Tahoma"/>
            <family val="0"/>
          </rPr>
          <t xml:space="preserve">
Put $4000 (2005 max) in Roth IRA and remaining amount in liquid assets</t>
        </r>
      </text>
    </comment>
    <comment ref="F69" authorId="0">
      <text>
        <r>
          <rPr>
            <b/>
            <sz val="10"/>
            <rFont val="Tahoma"/>
            <family val="0"/>
          </rPr>
          <t>Ann Dryden Witte:</t>
        </r>
        <r>
          <rPr>
            <sz val="10"/>
            <rFont val="Tahoma"/>
            <family val="0"/>
          </rPr>
          <t xml:space="preserve">
Steven pays $250 per month for kids &amp; wife pays $50 per month</t>
        </r>
      </text>
    </comment>
    <comment ref="H91" authorId="0">
      <text>
        <r>
          <rPr>
            <b/>
            <sz val="10"/>
            <rFont val="Tahoma"/>
            <family val="0"/>
          </rPr>
          <t>Ann Dryden Witte:</t>
        </r>
        <r>
          <rPr>
            <sz val="10"/>
            <rFont val="Tahoma"/>
            <family val="0"/>
          </rPr>
          <t xml:space="preserve">
$10,000 in checking; $40,000 in Vanguard Money market </t>
        </r>
      </text>
    </comment>
    <comment ref="H92" authorId="0">
      <text>
        <r>
          <rPr>
            <b/>
            <sz val="10"/>
            <rFont val="Tahoma"/>
            <family val="0"/>
          </rPr>
          <t>Ann Dryden Witte:</t>
        </r>
        <r>
          <rPr>
            <sz val="10"/>
            <rFont val="Tahoma"/>
            <family val="0"/>
          </rPr>
          <t xml:space="preserve">
$40,000 in traditional IRA; $20,000 in Roth IRA; Payouts to begin at 70 1/2; $200,000 equities (100,000 3M stock); $400,000 bonds, ReITs &amp; CDs</t>
        </r>
      </text>
    </comment>
    <comment ref="H100" authorId="0">
      <text>
        <r>
          <rPr>
            <b/>
            <sz val="10"/>
            <rFont val="Tahoma"/>
            <family val="0"/>
          </rPr>
          <t>Ann Dryden Witte:</t>
        </r>
        <r>
          <rPr>
            <sz val="10"/>
            <rFont val="Tahoma"/>
            <family val="0"/>
          </rPr>
          <t xml:space="preserve">
$40,000 in Traditional IRA and $20,000 in Roth IRa</t>
        </r>
      </text>
    </comment>
    <comment ref="H99" authorId="0">
      <text>
        <r>
          <rPr>
            <b/>
            <sz val="10"/>
            <rFont val="Tahoma"/>
            <family val="0"/>
          </rPr>
          <t>Ann Dryden Witte:</t>
        </r>
        <r>
          <rPr>
            <sz val="10"/>
            <rFont val="Tahoma"/>
            <family val="0"/>
          </rPr>
          <t xml:space="preserve">
$95,000 contributed by Erik &amp; $25,000 in 3M stock contributed by 3M  </t>
        </r>
      </text>
    </comment>
    <comment ref="Q25" authorId="0">
      <text>
        <r>
          <rPr>
            <b/>
            <sz val="10"/>
            <rFont val="Tahoma"/>
            <family val="0"/>
          </rPr>
          <t>Ann Dryden Witte:</t>
        </r>
        <r>
          <rPr>
            <sz val="10"/>
            <rFont val="Tahoma"/>
            <family val="0"/>
          </rPr>
          <t xml:space="preserve">
$5000 in dividends and $17000 in interest</t>
        </r>
      </text>
    </comment>
    <comment ref="H31" authorId="0">
      <text>
        <r>
          <rPr>
            <b/>
            <sz val="10"/>
            <rFont val="Tahoma"/>
            <family val="0"/>
          </rPr>
          <t>Ann Dryden Witte:</t>
        </r>
        <r>
          <rPr>
            <sz val="10"/>
            <rFont val="Tahoma"/>
            <family val="0"/>
          </rPr>
          <t xml:space="preserve">
refund $441 due--actual tax=$5084</t>
        </r>
      </text>
    </comment>
    <comment ref="H30" authorId="0">
      <text>
        <r>
          <rPr>
            <b/>
            <sz val="10"/>
            <rFont val="Tahoma"/>
            <family val="0"/>
          </rPr>
          <t>Ann Dryden Witte:</t>
        </r>
        <r>
          <rPr>
            <sz val="10"/>
            <rFont val="Tahoma"/>
            <family val="0"/>
          </rPr>
          <t xml:space="preserve">
$15306 tax on income other than qualified dividends; tax $750 on qualified dividends; $12125 deductions; $6400 exemptions</t>
        </r>
      </text>
    </comment>
    <comment ref="H87" authorId="0">
      <text>
        <r>
          <rPr>
            <b/>
            <sz val="10"/>
            <rFont val="Tahoma"/>
            <family val="0"/>
          </rPr>
          <t>Ann Dryden Witte:</t>
        </r>
        <r>
          <rPr>
            <sz val="10"/>
            <rFont val="Tahoma"/>
            <family val="0"/>
          </rPr>
          <t xml:space="preserve">
Funds go into money market account</t>
        </r>
      </text>
    </comment>
    <comment ref="E98" authorId="0">
      <text>
        <r>
          <rPr>
            <b/>
            <sz val="10"/>
            <rFont val="Tahoma"/>
            <family val="0"/>
          </rPr>
          <t xml:space="preserve">Ann Dryden Witte: </t>
        </r>
        <r>
          <rPr>
            <sz val="10"/>
            <rFont val="Tahoma"/>
            <family val="0"/>
          </rPr>
          <t xml:space="preserve">
This represents the estimated Present Value of her future pension benefits expected to be paid to her after retirement over her remaining average life.  Average replacement rate in US is 50%. Good employers aim at 2/3 or 3/4 percent replacement rate</t>
        </r>
      </text>
    </comment>
    <comment ref="B14" authorId="0">
      <text>
        <r>
          <rPr>
            <b/>
            <sz val="10"/>
            <rFont val="Tahoma"/>
            <family val="0"/>
          </rPr>
          <t>Ann Dryden Witte:</t>
        </r>
        <r>
          <rPr>
            <sz val="10"/>
            <rFont val="Tahoma"/>
            <family val="0"/>
          </rPr>
          <t xml:space="preserve">
Grandmother is disabled, but mother and children are in good health</t>
        </r>
      </text>
    </comment>
    <comment ref="C14" authorId="0">
      <text>
        <r>
          <rPr>
            <b/>
            <sz val="10"/>
            <rFont val="Tahoma"/>
            <family val="0"/>
          </rPr>
          <t>Ann Dryden Witte:</t>
        </r>
        <r>
          <rPr>
            <sz val="10"/>
            <rFont val="Tahoma"/>
            <family val="0"/>
          </rPr>
          <t xml:space="preserve">
Father and children are in good health, but mother has high blood pressure and is over weight.</t>
        </r>
      </text>
    </comment>
    <comment ref="D14" authorId="0">
      <text>
        <r>
          <rPr>
            <b/>
            <sz val="10"/>
            <rFont val="Tahoma"/>
            <family val="0"/>
          </rPr>
          <t>Ann Dryden Witte:</t>
        </r>
        <r>
          <rPr>
            <sz val="10"/>
            <rFont val="Tahoma"/>
            <family val="0"/>
          </rPr>
          <t xml:space="preserve">
Father and two children are in good health</t>
        </r>
      </text>
    </comment>
    <comment ref="E14" authorId="0">
      <text>
        <r>
          <rPr>
            <b/>
            <sz val="10"/>
            <rFont val="Tahoma"/>
            <family val="0"/>
          </rPr>
          <t>Ann Dryden Witte:</t>
        </r>
        <r>
          <rPr>
            <sz val="10"/>
            <rFont val="Tahoma"/>
            <family val="0"/>
          </rPr>
          <t xml:space="preserve">
Ana Maria is helping her two parents. Her father has a heart condition and her mother has diabetes. Ana Maria has vericose veins and osteopenia.</t>
        </r>
      </text>
    </comment>
    <comment ref="F14" authorId="0">
      <text>
        <r>
          <rPr>
            <b/>
            <sz val="10"/>
            <rFont val="Tahoma"/>
            <family val="0"/>
          </rPr>
          <t>Ann Dryden Witte:</t>
        </r>
        <r>
          <rPr>
            <sz val="10"/>
            <rFont val="Tahoma"/>
            <family val="0"/>
          </rPr>
          <t xml:space="preserve">
All family members are in excellent health.</t>
        </r>
      </text>
    </comment>
    <comment ref="H14" authorId="0">
      <text>
        <r>
          <rPr>
            <b/>
            <sz val="10"/>
            <rFont val="Tahoma"/>
            <family val="0"/>
          </rPr>
          <t>Ann Dryden Witte:</t>
        </r>
        <r>
          <rPr>
            <sz val="10"/>
            <rFont val="Tahoma"/>
            <family val="0"/>
          </rPr>
          <t xml:space="preserve">
Husband has had bypass surgery and has a pacemaker. Wife is on blood pressure medication, but is otherwise ok. </t>
        </r>
      </text>
    </comment>
    <comment ref="F59" authorId="1">
      <text>
        <r>
          <rPr>
            <b/>
            <sz val="8"/>
            <rFont val="Tahoma"/>
            <family val="0"/>
          </rPr>
          <t>Saundra Gulley:</t>
        </r>
        <r>
          <rPr>
            <sz val="8"/>
            <rFont val="Tahoma"/>
            <family val="0"/>
          </rPr>
          <t xml:space="preserve">
</t>
        </r>
      </text>
    </comment>
    <comment ref="G59" authorId="1">
      <text>
        <r>
          <rPr>
            <b/>
            <sz val="8"/>
            <rFont val="Tahoma"/>
            <family val="0"/>
          </rPr>
          <t>Saundra Gulley:</t>
        </r>
        <r>
          <rPr>
            <sz val="8"/>
            <rFont val="Tahoma"/>
            <family val="0"/>
          </rPr>
          <t xml:space="preserve">
Represents 2 monthly commuter rail passes to NYC, plus $500 gas per month for the 3 vehicles and est. ave. annual car maintenance of $1500 on the 3 cars </t>
        </r>
      </text>
    </comment>
    <comment ref="G57" authorId="1">
      <text>
        <r>
          <rPr>
            <b/>
            <sz val="8"/>
            <rFont val="Tahoma"/>
            <family val="0"/>
          </rPr>
          <t>Saundra Gulley:</t>
        </r>
        <r>
          <rPr>
            <sz val="8"/>
            <rFont val="Tahoma"/>
            <family val="0"/>
          </rPr>
          <t xml:space="preserve">
$300/week restaurants; 2kids + nanny @ home $60/day; 2 lunches/day in NYC; weekends for family $150/day</t>
        </r>
      </text>
    </comment>
    <comment ref="G58" authorId="1">
      <text>
        <r>
          <rPr>
            <b/>
            <sz val="8"/>
            <rFont val="Tahoma"/>
            <family val="0"/>
          </rPr>
          <t>Saundra Gulley:</t>
        </r>
        <r>
          <rPr>
            <sz val="8"/>
            <rFont val="Tahoma"/>
            <family val="0"/>
          </rPr>
          <t xml:space="preserve">
Clothers, spa treatments; dry cleaning, kids lessons &amp; activities, etc
</t>
        </r>
      </text>
    </comment>
    <comment ref="G56" authorId="1">
      <text>
        <r>
          <rPr>
            <b/>
            <sz val="8"/>
            <rFont val="Tahoma"/>
            <family val="0"/>
          </rPr>
          <t xml:space="preserve">Saundra Gulley: </t>
        </r>
        <r>
          <rPr>
            <sz val="8"/>
            <rFont val="Tahoma"/>
            <family val="0"/>
          </rPr>
          <t xml:space="preserve"> maid 1xweek, garbage removal service ($150/mo);furniture replacement/repair, etc.</t>
        </r>
      </text>
    </comment>
    <comment ref="G55" authorId="1">
      <text>
        <r>
          <rPr>
            <b/>
            <sz val="8"/>
            <rFont val="Tahoma"/>
            <family val="0"/>
          </rPr>
          <t>Saundra Gulley:</t>
        </r>
        <r>
          <rPr>
            <sz val="8"/>
            <rFont val="Tahoma"/>
            <family val="0"/>
          </rPr>
          <t xml:space="preserve">
cable, internet, electric, telephony, oil heat, cell phone for nanny (John &amp; Sarah's cell phones paid for by employers); note they have well water and not public water</t>
        </r>
      </text>
    </comment>
    <comment ref="G52" authorId="1">
      <text>
        <r>
          <rPr>
            <b/>
            <sz val="8"/>
            <rFont val="Tahoma"/>
            <family val="0"/>
          </rPr>
          <t>Saundra Gulley:</t>
        </r>
        <r>
          <rPr>
            <sz val="8"/>
            <rFont val="Tahoma"/>
            <family val="0"/>
          </rPr>
          <t xml:space="preserve">
Annual maintence fee on home equity line is $100</t>
        </r>
      </text>
    </comment>
    <comment ref="G53" authorId="1">
      <text>
        <r>
          <rPr>
            <b/>
            <sz val="8"/>
            <rFont val="Tahoma"/>
            <family val="0"/>
          </rPr>
          <t>Saundra Gulley:</t>
        </r>
        <r>
          <rPr>
            <sz val="8"/>
            <rFont val="Tahoma"/>
            <family val="0"/>
          </rPr>
          <t xml:space="preserve">
Landscaping, snow removal, handyman repairs &amp; misc. maintenance including painting (amortized at approx $3,000/yr)
</t>
        </r>
      </text>
    </comment>
    <comment ref="G61" authorId="1">
      <text>
        <r>
          <rPr>
            <b/>
            <sz val="8"/>
            <rFont val="Tahoma"/>
            <family val="0"/>
          </rPr>
          <t>Saundra Gulley:</t>
        </r>
        <r>
          <rPr>
            <sz val="8"/>
            <rFont val="Tahoma"/>
            <family val="0"/>
          </rPr>
          <t xml:space="preserve">
To include deductibles for whole family, OTC medicines, and co-pays</t>
        </r>
      </text>
    </comment>
    <comment ref="G63" authorId="1">
      <text>
        <r>
          <rPr>
            <b/>
            <sz val="8"/>
            <rFont val="Tahoma"/>
            <family val="0"/>
          </rPr>
          <t>Saundra Gulley:</t>
        </r>
        <r>
          <rPr>
            <sz val="8"/>
            <rFont val="Tahoma"/>
            <family val="0"/>
          </rPr>
          <t xml:space="preserve">
Haircuts for whole family 1xmonth, massage for John &amp; Sarah 2xmonth; Sarah's facials 1xmonth, nails 1xweek &amp; pedicures 1xmonth; Gym memberships (in city near work at at home for weekends); and John's personal trainer 2xweek</t>
        </r>
      </text>
    </comment>
    <comment ref="G97" authorId="1">
      <text>
        <r>
          <rPr>
            <b/>
            <sz val="8"/>
            <rFont val="Tahoma"/>
            <family val="0"/>
          </rPr>
          <t>Saundra Gulley:</t>
        </r>
        <r>
          <rPr>
            <sz val="8"/>
            <rFont val="Tahoma"/>
            <family val="0"/>
          </rPr>
          <t xml:space="preserve">
2000 Volvo v40 wagon for the nanny worth $9400, 2003 Porsche Boxter worth $27,300; 1997 Honda Accord (station car) worth $4500</t>
        </r>
      </text>
    </comment>
    <comment ref="I23" authorId="2">
      <text>
        <r>
          <rPr>
            <b/>
            <sz val="8"/>
            <rFont val="Tahoma"/>
            <family val="0"/>
          </rPr>
          <t>AT:</t>
        </r>
        <r>
          <rPr>
            <sz val="8"/>
            <rFont val="Tahoma"/>
            <family val="0"/>
          </rPr>
          <t xml:space="preserve">
www.salary.com Architectural drafter Average Wage</t>
        </r>
      </text>
    </comment>
    <comment ref="I24" authorId="2">
      <text>
        <r>
          <rPr>
            <b/>
            <sz val="8"/>
            <rFont val="Tahoma"/>
            <family val="0"/>
          </rPr>
          <t>AT:</t>
        </r>
        <r>
          <rPr>
            <sz val="8"/>
            <rFont val="Tahoma"/>
            <family val="0"/>
          </rPr>
          <t xml:space="preserve">
Interior Design consulting on the side</t>
        </r>
      </text>
    </comment>
    <comment ref="I25" authorId="3">
      <text>
        <r>
          <rPr>
            <b/>
            <sz val="8"/>
            <rFont val="Tahoma"/>
            <family val="0"/>
          </rPr>
          <t>lynn wang:</t>
        </r>
        <r>
          <rPr>
            <sz val="8"/>
            <rFont val="Tahoma"/>
            <family val="0"/>
          </rPr>
          <t xml:space="preserve">
she does not make investments at this point
</t>
        </r>
      </text>
    </comment>
    <comment ref="I26" authorId="3">
      <text>
        <r>
          <rPr>
            <b/>
            <sz val="8"/>
            <rFont val="Tahoma"/>
            <family val="0"/>
          </rPr>
          <t>lynn wang:</t>
        </r>
        <r>
          <rPr>
            <sz val="8"/>
            <rFont val="Tahoma"/>
            <family val="0"/>
          </rPr>
          <t xml:space="preserve">
$42,952+$12,000</t>
        </r>
      </text>
    </comment>
    <comment ref="I27" authorId="2">
      <text>
        <r>
          <rPr>
            <b/>
            <sz val="8"/>
            <rFont val="Tahoma"/>
            <family val="0"/>
          </rPr>
          <t>AT:</t>
        </r>
        <r>
          <rPr>
            <sz val="8"/>
            <rFont val="Tahoma"/>
            <family val="0"/>
          </rPr>
          <t xml:space="preserve">
$42,952-$4295 = 38,721
because her 401k contribution is tax-deffered</t>
        </r>
      </text>
    </comment>
    <comment ref="J27" authorId="2">
      <text>
        <r>
          <rPr>
            <b/>
            <sz val="8"/>
            <rFont val="Tahoma"/>
            <family val="0"/>
          </rPr>
          <t>AT:</t>
        </r>
        <r>
          <rPr>
            <sz val="8"/>
            <rFont val="Tahoma"/>
            <family val="0"/>
          </rPr>
          <t xml:space="preserve">
Taxable Income from Consulting -  expenses related to consulting see Schedule C</t>
        </r>
      </text>
    </comment>
    <comment ref="I30" authorId="2">
      <text>
        <r>
          <rPr>
            <b/>
            <sz val="8"/>
            <rFont val="Tahoma"/>
            <family val="0"/>
          </rPr>
          <t>AT:</t>
        </r>
        <r>
          <rPr>
            <sz val="8"/>
            <rFont val="Tahoma"/>
            <family val="0"/>
          </rPr>
          <t xml:space="preserve">
Taxable Income = $47,451; Form 1040 line 22
</t>
        </r>
      </text>
    </comment>
    <comment ref="I31" authorId="2">
      <text>
        <r>
          <rPr>
            <b/>
            <sz val="8"/>
            <rFont val="Tahoma"/>
            <family val="0"/>
          </rPr>
          <t>AT:</t>
        </r>
        <r>
          <rPr>
            <sz val="8"/>
            <rFont val="Tahoma"/>
            <family val="0"/>
          </rPr>
          <t xml:space="preserve">
MA State Tax 5.3%
http://www.dor.state.ma
</t>
        </r>
        <r>
          <rPr>
            <b/>
            <sz val="8"/>
            <rFont val="Tahoma"/>
            <family val="0"/>
          </rPr>
          <t>LW:</t>
        </r>
        <r>
          <rPr>
            <sz val="8"/>
            <rFont val="Tahoma"/>
            <family val="0"/>
          </rPr>
          <t xml:space="preserve"> http://www.taxadmin.org/fta/rate/ind_inc.html</t>
        </r>
      </text>
    </comment>
    <comment ref="I33" authorId="3">
      <text>
        <r>
          <rPr>
            <b/>
            <sz val="8"/>
            <rFont val="Tahoma"/>
            <family val="0"/>
          </rPr>
          <t>LW:</t>
        </r>
        <r>
          <rPr>
            <sz val="8"/>
            <rFont val="Tahoma"/>
            <family val="0"/>
          </rPr>
          <t xml:space="preserve">
FICA - an amount paid by individuals during the period in which they earn wages for purposes of providing them with benefits when they retire. Social Security benefits are made available to retired workers, their spouses and their dependents as well as to disabled workers, their spouses and their dependents. Also known as the Social Security tax</t>
        </r>
      </text>
    </comment>
    <comment ref="J33" authorId="3">
      <text>
        <r>
          <rPr>
            <b/>
            <sz val="8"/>
            <rFont val="Tahoma"/>
            <family val="0"/>
          </rPr>
          <t>lynn wang:</t>
        </r>
        <r>
          <rPr>
            <sz val="8"/>
            <rFont val="Tahoma"/>
            <family val="0"/>
          </rPr>
          <t xml:space="preserve">
FICA old age tax for architect job
(6.2%)
http://www.adp.com/taxfin/toolbox/statewage/pdfs/txfacts06_ma.pdf#search=%22FICA%20mass%20tax%20rate%22</t>
        </r>
      </text>
    </comment>
    <comment ref="K33" authorId="3">
      <text>
        <r>
          <rPr>
            <b/>
            <sz val="8"/>
            <rFont val="Tahoma"/>
            <family val="0"/>
          </rPr>
          <t>lynn wang:</t>
        </r>
        <r>
          <rPr>
            <sz val="8"/>
            <rFont val="Tahoma"/>
            <family val="0"/>
          </rPr>
          <t xml:space="preserve">
FICA Old Age tax for self-employment tax
(12.4%)
</t>
        </r>
      </text>
    </comment>
    <comment ref="J34" authorId="3">
      <text>
        <r>
          <rPr>
            <b/>
            <sz val="8"/>
            <rFont val="Tahoma"/>
            <family val="0"/>
          </rPr>
          <t>lynn wang:</t>
        </r>
        <r>
          <rPr>
            <sz val="8"/>
            <rFont val="Tahoma"/>
            <family val="0"/>
          </rPr>
          <t xml:space="preserve">
FICA Medicare tax for architect job
(1.45%)
</t>
        </r>
      </text>
    </comment>
    <comment ref="K34" authorId="3">
      <text>
        <r>
          <rPr>
            <b/>
            <sz val="8"/>
            <rFont val="Tahoma"/>
            <family val="0"/>
          </rPr>
          <t>lynn wang:</t>
        </r>
        <r>
          <rPr>
            <sz val="8"/>
            <rFont val="Tahoma"/>
            <family val="0"/>
          </rPr>
          <t xml:space="preserve">
FICA Medicare for self-employment
(2.9%)</t>
        </r>
      </text>
    </comment>
    <comment ref="I5" authorId="3">
      <text>
        <r>
          <rPr>
            <b/>
            <sz val="8"/>
            <rFont val="Tahoma"/>
            <family val="0"/>
          </rPr>
          <t>AT:http://www.rent.com/rentals/massachusetts/boston-and-vicinity/cambridge/570152/?sp=1</t>
        </r>
      </text>
    </comment>
    <comment ref="I6" authorId="2">
      <text>
        <r>
          <rPr>
            <b/>
            <sz val="8"/>
            <rFont val="Tahoma"/>
            <family val="0"/>
          </rPr>
          <t>AT:</t>
        </r>
        <r>
          <rPr>
            <sz val="8"/>
            <rFont val="Tahoma"/>
            <family val="0"/>
          </rPr>
          <t xml:space="preserve">
$8055 is its current market value according to www.kbb.com. Model LX Coupe 2D</t>
        </r>
      </text>
    </comment>
    <comment ref="I41" authorId="2">
      <text>
        <r>
          <rPr>
            <b/>
            <sz val="8"/>
            <rFont val="Tahoma"/>
            <family val="0"/>
          </rPr>
          <t>AT:</t>
        </r>
        <r>
          <rPr>
            <sz val="8"/>
            <rFont val="Tahoma"/>
            <family val="0"/>
          </rPr>
          <t xml:space="preserve">
10% of salary personal contribution/year</t>
        </r>
      </text>
    </comment>
    <comment ref="I42" authorId="2">
      <text>
        <r>
          <rPr>
            <b/>
            <sz val="8"/>
            <rFont val="Tahoma"/>
            <family val="0"/>
          </rPr>
          <t>AT:</t>
        </r>
        <r>
          <rPr>
            <sz val="8"/>
            <rFont val="Tahoma"/>
            <family val="0"/>
          </rPr>
          <t xml:space="preserve">
This is a 50% employer match up to a maximum of 10.00% of annual salary.</t>
        </r>
      </text>
    </comment>
    <comment ref="I50" authorId="2">
      <text>
        <r>
          <rPr>
            <b/>
            <sz val="8"/>
            <rFont val="Tahoma"/>
            <family val="0"/>
          </rPr>
          <t xml:space="preserve">AT: </t>
        </r>
        <r>
          <rPr>
            <sz val="8"/>
            <rFont val="Tahoma"/>
            <family val="0"/>
          </rPr>
          <t>Based on $950 per month rent for 1 Bedroom Apt.
http://www.rent.com/rentals/massachusetts/boston-and-vicinity/cambridge/570152/?sp=1</t>
        </r>
      </text>
    </comment>
    <comment ref="I55" authorId="2">
      <text>
        <r>
          <rPr>
            <b/>
            <sz val="8"/>
            <rFont val="Tahoma"/>
            <family val="0"/>
          </rPr>
          <t>AT:</t>
        </r>
        <r>
          <rPr>
            <sz val="8"/>
            <rFont val="Tahoma"/>
            <family val="0"/>
          </rPr>
          <t xml:space="preserve">
Numbers for expenses adjusted for Boston from the Consumer Expenditure Survey with the data from the Statistical Abstract  unless otherwise noted: ftp://ftp.bls.gov/pub/special.requests/ce/crosstabs/y0304/agebyinc/x25to34.txt</t>
        </r>
      </text>
    </comment>
    <comment ref="I57" authorId="2">
      <text>
        <r>
          <rPr>
            <b/>
            <sz val="8"/>
            <rFont val="Tahoma"/>
            <family val="0"/>
          </rPr>
          <t>AT:</t>
        </r>
        <r>
          <rPr>
            <sz val="8"/>
            <rFont val="Tahoma"/>
            <family val="0"/>
          </rPr>
          <t xml:space="preserve">
$5945x1.199=</t>
        </r>
      </text>
    </comment>
    <comment ref="I59" authorId="2">
      <text>
        <r>
          <rPr>
            <b/>
            <sz val="8"/>
            <rFont val="Tahoma"/>
            <family val="0"/>
          </rPr>
          <t>AT:</t>
        </r>
        <r>
          <rPr>
            <sz val="8"/>
            <rFont val="Tahoma"/>
            <family val="0"/>
          </rPr>
          <t xml:space="preserve">
or $3,552 if she takes public transportation</t>
        </r>
      </text>
    </comment>
    <comment ref="I61" authorId="4">
      <text>
        <r>
          <rPr>
            <b/>
            <sz val="8"/>
            <rFont val="Tahoma"/>
            <family val="0"/>
          </rPr>
          <t>Lynn Wang:</t>
        </r>
        <r>
          <rPr>
            <sz val="8"/>
            <rFont val="Tahoma"/>
            <family val="0"/>
          </rPr>
          <t xml:space="preserve">
ajusted to Boston, MA region
1.504*150 = </t>
        </r>
      </text>
    </comment>
    <comment ref="I62" authorId="4">
      <text>
        <r>
          <rPr>
            <b/>
            <sz val="8"/>
            <rFont val="Tahoma"/>
            <family val="0"/>
          </rPr>
          <t xml:space="preserve">LynnWang:
</t>
        </r>
        <r>
          <rPr>
            <sz val="8"/>
            <rFont val="Tahoma"/>
            <family val="2"/>
          </rPr>
          <t>adjusted to Boston, MA region</t>
        </r>
        <r>
          <rPr>
            <sz val="8"/>
            <rFont val="Tahoma"/>
            <family val="0"/>
          </rPr>
          <t xml:space="preserve">
1.186*1000 = 1186</t>
        </r>
      </text>
    </comment>
    <comment ref="I63" authorId="4">
      <text>
        <r>
          <rPr>
            <b/>
            <sz val="8"/>
            <rFont val="Tahoma"/>
            <family val="0"/>
          </rPr>
          <t>LynnWang:</t>
        </r>
        <r>
          <rPr>
            <sz val="8"/>
            <rFont val="Tahoma"/>
            <family val="0"/>
          </rPr>
          <t xml:space="preserve">
adjusted to Boston, MA region
1.186*559 = 711.6</t>
        </r>
      </text>
    </comment>
    <comment ref="I65" authorId="2">
      <text>
        <r>
          <rPr>
            <b/>
            <sz val="8"/>
            <rFont val="Tahoma"/>
            <family val="0"/>
          </rPr>
          <t>AT:</t>
        </r>
        <r>
          <rPr>
            <sz val="8"/>
            <rFont val="Tahoma"/>
            <family val="0"/>
          </rPr>
          <t xml:space="preserve">
$300/month payment to parents</t>
        </r>
      </text>
    </comment>
    <comment ref="H69" authorId="1">
      <text>
        <r>
          <rPr>
            <b/>
            <sz val="8"/>
            <rFont val="Tahoma"/>
            <family val="0"/>
          </rPr>
          <t>Saundra Gulley:</t>
        </r>
        <r>
          <rPr>
            <sz val="8"/>
            <rFont val="Tahoma"/>
            <family val="0"/>
          </rPr>
          <t xml:space="preserve">
Medicare Supplemental</t>
        </r>
      </text>
    </comment>
    <comment ref="I71" authorId="2">
      <text>
        <r>
          <rPr>
            <b/>
            <sz val="8"/>
            <rFont val="Tahoma"/>
            <family val="0"/>
          </rPr>
          <t>AT:</t>
        </r>
        <r>
          <rPr>
            <sz val="8"/>
            <rFont val="Tahoma"/>
            <family val="0"/>
          </rPr>
          <t xml:space="preserve">
Liao, Joseph J. Personal interview. 10 Oct. 2006. Comparable age and driving experience, drives the same car model and lives in the same neighborhood as Bridget.</t>
        </r>
      </text>
    </comment>
    <comment ref="I69" authorId="1">
      <text>
        <r>
          <rPr>
            <b/>
            <sz val="8"/>
            <rFont val="Tahoma"/>
            <family val="0"/>
          </rPr>
          <t>Saundra Gulley:</t>
        </r>
        <r>
          <rPr>
            <sz val="8"/>
            <rFont val="Tahoma"/>
            <family val="0"/>
          </rPr>
          <t xml:space="preserve">
Health Insurance paid for by employer; has $1,500 deductible plus $20 co-pays.  Amount here is assumption based on being healthy</t>
        </r>
      </text>
    </comment>
    <comment ref="I76" authorId="2">
      <text>
        <r>
          <rPr>
            <sz val="8"/>
            <rFont val="Tahoma"/>
            <family val="0"/>
          </rPr>
          <t>her monthly credit card repayment on $1500
(Capital One credit card; she has above average credit)</t>
        </r>
      </text>
    </comment>
    <comment ref="I78" authorId="2">
      <text>
        <r>
          <rPr>
            <b/>
            <sz val="8"/>
            <rFont val="Tahoma"/>
            <family val="0"/>
          </rPr>
          <t>AT: $205/month</t>
        </r>
        <r>
          <rPr>
            <sz val="8"/>
            <rFont val="Tahoma"/>
            <family val="0"/>
          </rPr>
          <t xml:space="preserve">
Refer to StudentLoan Spreadsheet.  Would be $3,168 if she consolidates the loan</t>
        </r>
      </text>
    </comment>
    <comment ref="I79" authorId="2">
      <text>
        <r>
          <rPr>
            <b/>
            <sz val="8"/>
            <rFont val="Tahoma"/>
            <family val="0"/>
          </rPr>
          <t>AT:</t>
        </r>
        <r>
          <rPr>
            <sz val="8"/>
            <rFont val="Tahoma"/>
            <family val="0"/>
          </rPr>
          <t xml:space="preserve">
$222/month, Refer to StudentLoan Spreadsheet for more details.</t>
        </r>
      </text>
    </comment>
    <comment ref="I91" authorId="2">
      <text>
        <r>
          <rPr>
            <b/>
            <sz val="8"/>
            <rFont val="Tahoma"/>
            <family val="0"/>
          </rPr>
          <t>AT:</t>
        </r>
        <r>
          <rPr>
            <sz val="8"/>
            <rFont val="Tahoma"/>
            <family val="0"/>
          </rPr>
          <t xml:space="preserve">
$1500 Savings and $3000 in Checking</t>
        </r>
      </text>
    </comment>
    <comment ref="I97" authorId="2">
      <text>
        <r>
          <rPr>
            <b/>
            <sz val="8"/>
            <rFont val="Tahoma"/>
            <family val="0"/>
          </rPr>
          <t>AT:</t>
        </r>
        <r>
          <rPr>
            <sz val="8"/>
            <rFont val="Tahoma"/>
            <family val="0"/>
          </rPr>
          <t xml:space="preserve">
$8055 is its current market value according to www.kbb.com. Model LX Coupe 2D</t>
        </r>
      </text>
    </comment>
    <comment ref="I99" authorId="2">
      <text>
        <r>
          <rPr>
            <b/>
            <sz val="8"/>
            <rFont val="Tahoma"/>
            <family val="0"/>
          </rPr>
          <t>AT:</t>
        </r>
        <r>
          <rPr>
            <sz val="8"/>
            <rFont val="Tahoma"/>
            <family val="0"/>
          </rPr>
          <t xml:space="preserve">
This is her 3rd year working</t>
        </r>
      </text>
    </comment>
    <comment ref="I107" authorId="3">
      <text>
        <r>
          <rPr>
            <b/>
            <sz val="8"/>
            <rFont val="Tahoma"/>
            <family val="0"/>
          </rPr>
          <t>lynn wang:</t>
        </r>
        <r>
          <rPr>
            <sz val="8"/>
            <rFont val="Tahoma"/>
            <family val="0"/>
          </rPr>
          <t xml:space="preserve">
3.5 years of MIT Masters Student Loan: Federal Perkins and Federal Stafford loans. Please Refer to StudentLoanRepaymentSched spreadsheet for more details.
Total Loan After Graduation: $43,500
Repaid Stafford Loan: 3694.32 (for 18months of payments)
Repaid Perkins Loan: $3341 (for 15 months of payments)
</t>
        </r>
      </text>
    </comment>
    <comment ref="C120" authorId="5">
      <text>
        <r>
          <rPr>
            <b/>
            <sz val="8"/>
            <rFont val="Tahoma"/>
            <family val="0"/>
          </rPr>
          <t>awitte:</t>
        </r>
        <r>
          <rPr>
            <sz val="8"/>
            <rFont val="Tahoma"/>
            <family val="0"/>
          </rPr>
          <t xml:space="preserve">
Child tax credit will continue to decreeas their taxes to zero until they have a taxable income $22,450. There taxable income is currently $17060.</t>
        </r>
      </text>
    </comment>
    <comment ref="D120" authorId="5">
      <text>
        <r>
          <rPr>
            <b/>
            <sz val="8"/>
            <rFont val="Tahoma"/>
            <family val="0"/>
          </rPr>
          <t>awitte:</t>
        </r>
        <r>
          <rPr>
            <sz val="8"/>
            <rFont val="Tahoma"/>
            <family val="0"/>
          </rPr>
          <t xml:space="preserve">
Deductions $9406; 1 exemption; Taxable income $58944</t>
        </r>
      </text>
    </comment>
    <comment ref="E120" authorId="0">
      <text>
        <r>
          <rPr>
            <b/>
            <sz val="10"/>
            <rFont val="Tahoma"/>
            <family val="0"/>
          </rPr>
          <t>Ann Dryden Witte:</t>
        </r>
        <r>
          <rPr>
            <sz val="10"/>
            <rFont val="Tahoma"/>
            <family val="0"/>
          </rPr>
          <t xml:space="preserve">
Property taxes $1775; Mortgage interest $6264; charitable $520;State income tax $5,427; Taxable income $74214</t>
        </r>
      </text>
    </comment>
    <comment ref="F120" authorId="0">
      <text>
        <r>
          <rPr>
            <b/>
            <sz val="10"/>
            <rFont val="Tahoma"/>
            <family val="0"/>
          </rPr>
          <t>Ann Dryden Witte:</t>
        </r>
        <r>
          <rPr>
            <sz val="10"/>
            <rFont val="Tahoma"/>
            <family val="0"/>
          </rPr>
          <t xml:space="preserve">
6 1/4% sales tax--tax table=1294 + $38,000 for car * .0614 ; 1200 child care credit; 2000 child credit</t>
        </r>
      </text>
    </comment>
    <comment ref="G120" authorId="1">
      <text>
        <r>
          <rPr>
            <b/>
            <sz val="8"/>
            <rFont val="Tahoma"/>
            <family val="0"/>
          </rPr>
          <t>Saundra Gulley:</t>
        </r>
        <r>
          <rPr>
            <sz val="8"/>
            <rFont val="Tahoma"/>
            <family val="0"/>
          </rPr>
          <t xml:space="preserve">
http://www.irs.gov/formspubs/article/0,,id=150856,00.html</t>
        </r>
      </text>
    </comment>
    <comment ref="H120" authorId="0">
      <text>
        <r>
          <rPr>
            <b/>
            <sz val="10"/>
            <rFont val="Tahoma"/>
            <family val="0"/>
          </rPr>
          <t>Ann Dryden Witte:</t>
        </r>
        <r>
          <rPr>
            <sz val="10"/>
            <rFont val="Tahoma"/>
            <family val="0"/>
          </rPr>
          <t xml:space="preserve">
$15306 tax on income other than qualified dividends; tax $750 on qualified dividends; $12,125 deductions; $6400 exemptions</t>
        </r>
      </text>
    </comment>
    <comment ref="C121" authorId="5">
      <text>
        <r>
          <rPr>
            <b/>
            <sz val="8"/>
            <rFont val="Tahoma"/>
            <family val="0"/>
          </rPr>
          <t>awitte:</t>
        </r>
        <r>
          <rPr>
            <sz val="8"/>
            <rFont val="Tahoma"/>
            <family val="0"/>
          </rPr>
          <t xml:space="preserve">
MA Income Tax is similar to the federal system. The family will not pay tax until their income is higher. The MA tax rate on wages &amp; slalaries is 5%</t>
        </r>
      </text>
    </comment>
    <comment ref="D121" authorId="0">
      <text>
        <r>
          <rPr>
            <b/>
            <sz val="10"/>
            <rFont val="Tahoma"/>
            <family val="0"/>
          </rPr>
          <t>Ann Dryden Witte:</t>
        </r>
        <r>
          <rPr>
            <sz val="10"/>
            <rFont val="Tahoma"/>
            <family val="0"/>
          </rPr>
          <t xml:space="preserve">
IL has 3% flat income tax; pay on $63,150 of taxable income</t>
        </r>
      </text>
    </comment>
    <comment ref="E121" authorId="0">
      <text>
        <r>
          <rPr>
            <b/>
            <sz val="10"/>
            <rFont val="Tahoma"/>
            <family val="0"/>
          </rPr>
          <t>Ann Dryden Witte:</t>
        </r>
        <r>
          <rPr>
            <sz val="10"/>
            <rFont val="Tahoma"/>
            <family val="0"/>
          </rPr>
          <t xml:space="preserve">
Tax rate 9.3% on income over $40,346; use calculator at http://www.ftb.ca.gov/individuals/tax_table/index.asp</t>
        </r>
      </text>
    </comment>
    <comment ref="G121" authorId="1">
      <text>
        <r>
          <rPr>
            <b/>
            <sz val="8"/>
            <rFont val="Tahoma"/>
            <family val="0"/>
          </rPr>
          <t>Saundra Gulley:</t>
        </r>
        <r>
          <rPr>
            <sz val="8"/>
            <rFont val="Tahoma"/>
            <family val="0"/>
          </rPr>
          <t xml:space="preserve">
http://www.ct.gov/drs/cwp/view.asp?a=1510&amp;q=267070.  NOTE that a portion of NYS income taxes can be credited against the CT income tax bill (subject to detailed calculations)</t>
        </r>
      </text>
    </comment>
    <comment ref="H121" authorId="5">
      <text>
        <r>
          <rPr>
            <b/>
            <sz val="8"/>
            <rFont val="Tahoma"/>
            <family val="0"/>
          </rPr>
          <t>awitte:</t>
        </r>
        <r>
          <rPr>
            <sz val="8"/>
            <rFont val="Tahoma"/>
            <family val="0"/>
          </rPr>
          <t xml:space="preserve">
For joint returns, tax is twice the amount that 1/2 thejoint  income would be taxed at.</t>
        </r>
      </text>
    </comment>
    <comment ref="G122" authorId="1">
      <text>
        <r>
          <rPr>
            <b/>
            <sz val="8"/>
            <rFont val="Tahoma"/>
            <family val="0"/>
          </rPr>
          <t>Saundra Gulley:</t>
        </r>
        <r>
          <rPr>
            <sz val="8"/>
            <rFont val="Tahoma"/>
            <family val="0"/>
          </rPr>
          <t xml:space="preserve">
Note that as a non-resident, they owe income taxes only on the NYS-generated portion of their [wage &amp; salary] income, which is based on formulas depending on how many days worked in NYS.  A portion of their NYS taxes paid can be credited against their CT income tax bill based on detailed calculations </t>
        </r>
      </text>
    </comment>
    <comment ref="A126" authorId="1">
      <text>
        <r>
          <rPr>
            <b/>
            <sz val="8"/>
            <rFont val="Tahoma"/>
            <family val="0"/>
          </rPr>
          <t>Saundra Gulley:</t>
        </r>
        <r>
          <rPr>
            <sz val="8"/>
            <rFont val="Tahoma"/>
            <family val="0"/>
          </rPr>
          <t xml:space="preserve">
No income cap=pay on all wage, salaries &amp; schedule C (sole proprietor) net profit</t>
        </r>
      </text>
    </comment>
    <comment ref="D137" authorId="5">
      <text>
        <r>
          <rPr>
            <b/>
            <sz val="8"/>
            <rFont val="Tahoma"/>
            <family val="0"/>
          </rPr>
          <t>awitte:</t>
        </r>
        <r>
          <rPr>
            <sz val="8"/>
            <rFont val="Tahoma"/>
            <family val="0"/>
          </rPr>
          <t xml:space="preserve">
Chicago property tax: 1% of 1/3 of value. Source:www.chicagobar.org</t>
        </r>
      </text>
    </comment>
    <comment ref="E137" authorId="5">
      <text>
        <r>
          <rPr>
            <b/>
            <sz val="8"/>
            <rFont val="Tahoma"/>
            <family val="0"/>
          </rPr>
          <t>awitte:</t>
        </r>
        <r>
          <rPr>
            <sz val="8"/>
            <rFont val="Tahoma"/>
            <family val="0"/>
          </rPr>
          <t xml:space="preserve">
 Property tax (increases limited by Proposition 13)--2% increases in assessed value per year ($92038 in 2005) + value of new consturction--asuume $50000--assessed value $142,038; tax rate 1.25%-2005 property tax</t>
        </r>
      </text>
    </comment>
    <comment ref="F137" authorId="5">
      <text>
        <r>
          <rPr>
            <b/>
            <sz val="8"/>
            <rFont val="Tahoma"/>
            <family val="0"/>
          </rPr>
          <t>awitte:</t>
        </r>
        <r>
          <rPr>
            <sz val="8"/>
            <rFont val="Tahoma"/>
            <family val="0"/>
          </rPr>
          <t xml:space="preserve">
Harris County: homestead exemption 20% of assessed value, tax rate.04%</t>
        </r>
      </text>
    </comment>
    <comment ref="G137" authorId="5">
      <text>
        <r>
          <rPr>
            <b/>
            <sz val="8"/>
            <rFont val="Tahoma"/>
            <family val="0"/>
          </rPr>
          <t>awitte:</t>
        </r>
        <r>
          <rPr>
            <sz val="8"/>
            <rFont val="Tahoma"/>
            <family val="0"/>
          </rPr>
          <t xml:space="preserve">
$22.55 per $1000 assessed value; assessed value is 70% of fair market value
</t>
        </r>
      </text>
    </comment>
    <comment ref="H137" authorId="5">
      <text>
        <r>
          <rPr>
            <b/>
            <sz val="8"/>
            <rFont val="Tahoma"/>
            <family val="0"/>
          </rPr>
          <t>awitte:</t>
        </r>
        <r>
          <rPr>
            <sz val="8"/>
            <rFont val="Tahoma"/>
            <family val="0"/>
          </rPr>
          <t xml:space="preserve">
Property Tax is on 80% of the value of the house</t>
        </r>
      </text>
    </comment>
    <comment ref="B99" authorId="1">
      <text>
        <r>
          <rPr>
            <b/>
            <sz val="8"/>
            <rFont val="Tahoma"/>
            <family val="0"/>
          </rPr>
          <t>Saundra Gulley:</t>
        </r>
        <r>
          <rPr>
            <sz val="8"/>
            <rFont val="Tahoma"/>
            <family val="0"/>
          </rPr>
          <t xml:space="preserve">
Represents two years' contributions by her employer
</t>
        </r>
      </text>
    </comment>
    <comment ref="F43" authorId="1">
      <text>
        <r>
          <rPr>
            <b/>
            <sz val="8"/>
            <rFont val="Tahoma"/>
            <family val="0"/>
          </rPr>
          <t>Saundra Gulley:</t>
        </r>
        <r>
          <rPr>
            <sz val="8"/>
            <rFont val="Tahoma"/>
            <family val="0"/>
          </rPr>
          <t xml:space="preserve">
She is required to contribute 6.4% of her salary to the Texas Retirement System’s defined  pension plan</t>
        </r>
      </text>
    </comment>
    <comment ref="F98" authorId="1">
      <text>
        <r>
          <rPr>
            <b/>
            <sz val="8"/>
            <rFont val="Tahoma"/>
            <family val="0"/>
          </rPr>
          <t>Saundra Gulley:</t>
        </r>
        <r>
          <rPr>
            <sz val="8"/>
            <rFont val="Tahoma"/>
            <family val="0"/>
          </rPr>
          <t xml:space="preserve">
This represents the estimated Present Value of her future pension benefits expected to be paid to her by the Teacher Reitrement System of Texas after retirement, over her remaining average life.</t>
        </r>
      </text>
    </comment>
    <comment ref="I46" authorId="1">
      <text>
        <r>
          <rPr>
            <b/>
            <sz val="8"/>
            <rFont val="Tahoma"/>
            <family val="0"/>
          </rPr>
          <t>Saundra Gulley:</t>
        </r>
        <r>
          <rPr>
            <sz val="8"/>
            <rFont val="Tahoma"/>
            <family val="0"/>
          </rPr>
          <t xml:space="preserve">
Does not currently contribute due to lack of funds, but hopes to in the near future</t>
        </r>
      </text>
    </comment>
  </commentList>
</comments>
</file>

<file path=xl/comments2.xml><?xml version="1.0" encoding="utf-8"?>
<comments xmlns="http://schemas.openxmlformats.org/spreadsheetml/2006/main">
  <authors>
    <author>awitte</author>
    <author>Saundra Gulley</author>
    <author>AT</author>
    <author>lynn wang</author>
  </authors>
  <commentList>
    <comment ref="H21" authorId="0">
      <text>
        <r>
          <rPr>
            <b/>
            <sz val="8"/>
            <rFont val="Tahoma"/>
            <family val="0"/>
          </rPr>
          <t>awitte:</t>
        </r>
        <r>
          <rPr>
            <sz val="8"/>
            <rFont val="Tahoma"/>
            <family val="0"/>
          </rPr>
          <t xml:space="preserve">
$20,000 in 401 (k) </t>
        </r>
      </text>
    </comment>
    <comment ref="L7" authorId="0">
      <text>
        <r>
          <rPr>
            <b/>
            <sz val="8"/>
            <rFont val="Tahoma"/>
            <family val="0"/>
          </rPr>
          <t>awitte:</t>
        </r>
        <r>
          <rPr>
            <sz val="8"/>
            <rFont val="Tahoma"/>
            <family val="0"/>
          </rPr>
          <t xml:space="preserve">
Equity in LA home representing the current market value less the current mortgage balance</t>
        </r>
      </text>
    </comment>
    <comment ref="H19" authorId="0">
      <text>
        <r>
          <rPr>
            <b/>
            <sz val="8"/>
            <rFont val="Tahoma"/>
            <family val="0"/>
          </rPr>
          <t>awitte:</t>
        </r>
        <r>
          <rPr>
            <sz val="8"/>
            <rFont val="Tahoma"/>
            <family val="0"/>
          </rPr>
          <t xml:space="preserve">
Equity in Chicago home (the current market value less the current mortgage balance)</t>
        </r>
      </text>
    </comment>
    <comment ref="U19" authorId="0">
      <text>
        <r>
          <rPr>
            <b/>
            <sz val="8"/>
            <rFont val="Tahoma"/>
            <family val="0"/>
          </rPr>
          <t>awitte:</t>
        </r>
        <r>
          <rPr>
            <sz val="8"/>
            <rFont val="Tahoma"/>
            <family val="0"/>
          </rPr>
          <t xml:space="preserve">
Equity in Phoenix Home plus $100,000 investment in REITs</t>
        </r>
      </text>
    </comment>
    <comment ref="H20" authorId="0">
      <text>
        <r>
          <rPr>
            <b/>
            <sz val="8"/>
            <rFont val="Tahoma"/>
            <family val="0"/>
          </rPr>
          <t>awitte:</t>
        </r>
        <r>
          <rPr>
            <sz val="8"/>
            <rFont val="Tahoma"/>
            <family val="0"/>
          </rPr>
          <t xml:space="preserve">
$10,000 is in 401 (k)</t>
        </r>
      </text>
    </comment>
    <comment ref="H29" authorId="0">
      <text>
        <r>
          <rPr>
            <b/>
            <sz val="8"/>
            <rFont val="Tahoma"/>
            <family val="0"/>
          </rPr>
          <t>awitte:</t>
        </r>
        <r>
          <rPr>
            <sz val="8"/>
            <rFont val="Tahoma"/>
            <family val="0"/>
          </rPr>
          <t xml:space="preserve">
In 401 (K)--all in the stock of the company he works for.</t>
        </r>
      </text>
    </comment>
    <comment ref="P7" authorId="0">
      <text>
        <r>
          <rPr>
            <b/>
            <sz val="8"/>
            <rFont val="Tahoma"/>
            <family val="0"/>
          </rPr>
          <t>awitte:</t>
        </r>
        <r>
          <rPr>
            <sz val="8"/>
            <rFont val="Tahoma"/>
            <family val="0"/>
          </rPr>
          <t xml:space="preserve">
Equity in home in Houston, representing the current market value less the current mortgage balance
</t>
        </r>
      </text>
    </comment>
    <comment ref="K21" authorId="0">
      <text>
        <r>
          <rPr>
            <b/>
            <sz val="8"/>
            <rFont val="Tahoma"/>
            <family val="0"/>
          </rPr>
          <t>awitte: Money should be readily available for emergies not in 401(k)</t>
        </r>
        <r>
          <rPr>
            <sz val="8"/>
            <rFont val="Tahoma"/>
            <family val="0"/>
          </rPr>
          <t xml:space="preserve">
This is Aleks's funds for emergies. His expenditures are about $4000 per month. To be on the safe side he should have about $12,000 put aside for emergies.</t>
        </r>
      </text>
    </comment>
    <comment ref="K20" authorId="0">
      <text>
        <r>
          <rPr>
            <b/>
            <sz val="8"/>
            <rFont val="Tahoma"/>
            <family val="0"/>
          </rPr>
          <t>awitte:</t>
        </r>
        <r>
          <rPr>
            <sz val="8"/>
            <rFont val="Tahoma"/>
            <family val="0"/>
          </rPr>
          <t xml:space="preserve">
Money should be readily available not in 401 (k). Part of emergency &amp; transction funds</t>
        </r>
      </text>
    </comment>
    <comment ref="K23" authorId="0">
      <text>
        <r>
          <rPr>
            <b/>
            <sz val="8"/>
            <rFont val="Tahoma"/>
            <family val="0"/>
          </rPr>
          <t>awitte:</t>
        </r>
        <r>
          <rPr>
            <sz val="8"/>
            <rFont val="Tahoma"/>
            <family val="0"/>
          </rPr>
          <t xml:space="preserve">
Only 28% marginal tax bracket for interest income; so, will generally do better in taxable bonds.</t>
        </r>
      </text>
    </comment>
    <comment ref="L20" authorId="0">
      <text>
        <r>
          <rPr>
            <b/>
            <sz val="8"/>
            <rFont val="Tahoma"/>
            <family val="0"/>
          </rPr>
          <t>awitte:</t>
        </r>
        <r>
          <rPr>
            <sz val="8"/>
            <rFont val="Tahoma"/>
            <family val="0"/>
          </rPr>
          <t xml:space="preserve">
Approximately $15,000 needed to cover tansaction needs &amp; emergencies</t>
        </r>
      </text>
    </comment>
    <comment ref="O23" authorId="0">
      <text>
        <r>
          <rPr>
            <b/>
            <sz val="8"/>
            <rFont val="Tahoma"/>
            <family val="0"/>
          </rPr>
          <t>awitte:</t>
        </r>
        <r>
          <rPr>
            <sz val="8"/>
            <rFont val="Tahoma"/>
            <family val="0"/>
          </rPr>
          <t xml:space="preserve">
Has 37% marginal tax rate for interest income; California and LA muni bonds will provide higher yield</t>
        </r>
      </text>
    </comment>
    <comment ref="R20" authorId="0">
      <text>
        <r>
          <rPr>
            <b/>
            <sz val="8"/>
            <rFont val="Tahoma"/>
            <family val="0"/>
          </rPr>
          <t>awitte:</t>
        </r>
        <r>
          <rPr>
            <sz val="8"/>
            <rFont val="Tahoma"/>
            <family val="0"/>
          </rPr>
          <t xml:space="preserve">
Need these funds for transaction and to cover 3 months of expenditures in an emergency.</t>
        </r>
      </text>
    </comment>
    <comment ref="S21" authorId="0">
      <text>
        <r>
          <rPr>
            <b/>
            <sz val="8"/>
            <rFont val="Tahoma"/>
            <family val="0"/>
          </rPr>
          <t>awitte:</t>
        </r>
        <r>
          <rPr>
            <sz val="8"/>
            <rFont val="Tahoma"/>
            <family val="0"/>
          </rPr>
          <t xml:space="preserve">
Marginal tax rate on interest is 25%; so taxable bonds will generally be better investments than municipals.</t>
        </r>
      </text>
    </comment>
    <comment ref="S37" authorId="0">
      <text>
        <r>
          <rPr>
            <b/>
            <sz val="8"/>
            <rFont val="Tahoma"/>
            <family val="0"/>
          </rPr>
          <t>awitte:</t>
        </r>
        <r>
          <rPr>
            <sz val="8"/>
            <rFont val="Tahoma"/>
            <family val="0"/>
          </rPr>
          <t xml:space="preserve">
Petroleum engineer should have non-public information regarding oil prices.</t>
        </r>
      </text>
    </comment>
    <comment ref="X20" authorId="0">
      <text>
        <r>
          <rPr>
            <b/>
            <sz val="8"/>
            <rFont val="Tahoma"/>
            <family val="0"/>
          </rPr>
          <t>awitte:</t>
        </r>
        <r>
          <rPr>
            <sz val="8"/>
            <rFont val="Tahoma"/>
            <family val="0"/>
          </rPr>
          <t xml:space="preserve">
$30,000 in liquid assets let's them cover transaction costs &amp; 5 months of expenditures in case of emergencies.</t>
        </r>
      </text>
    </comment>
    <comment ref="Z8" authorId="1">
      <text>
        <r>
          <rPr>
            <b/>
            <sz val="8"/>
            <rFont val="Tahoma"/>
            <family val="0"/>
          </rPr>
          <t>Saundra Gulley:</t>
        </r>
        <r>
          <rPr>
            <sz val="8"/>
            <rFont val="Tahoma"/>
            <family val="0"/>
          </rPr>
          <t xml:space="preserve">
Current Personal 401k contribution + Employer 50% match; expected to grow over time as salary grows
</t>
        </r>
      </text>
    </comment>
    <comment ref="Z19" authorId="1">
      <text>
        <r>
          <rPr>
            <b/>
            <sz val="8"/>
            <rFont val="Tahoma"/>
            <family val="0"/>
          </rPr>
          <t>Saundra Gulley:</t>
        </r>
        <r>
          <rPr>
            <sz val="8"/>
            <rFont val="Tahoma"/>
            <family val="0"/>
          </rPr>
          <t xml:space="preserve">
this is all in her 401k, invested in a REIT fund (20% of her 401k)
</t>
        </r>
      </text>
    </comment>
    <comment ref="B8" authorId="1">
      <text>
        <r>
          <rPr>
            <b/>
            <sz val="8"/>
            <rFont val="Tahoma"/>
            <family val="0"/>
          </rPr>
          <t>Saundra Gulley:</t>
        </r>
        <r>
          <rPr>
            <sz val="8"/>
            <rFont val="Tahoma"/>
            <family val="0"/>
          </rPr>
          <t xml:space="preserve">
Annual Contribution by Employer; she makes no personal contributions of her own</t>
        </r>
      </text>
    </comment>
    <comment ref="B28" authorId="1">
      <text>
        <r>
          <rPr>
            <b/>
            <sz val="8"/>
            <rFont val="Tahoma"/>
            <family val="0"/>
          </rPr>
          <t>Saundra Gulley:</t>
        </r>
        <r>
          <rPr>
            <sz val="8"/>
            <rFont val="Tahoma"/>
            <family val="0"/>
          </rPr>
          <t xml:space="preserve">
Her 401k currently is 100% invested in a US total market equities fund via her employer
</t>
        </r>
      </text>
    </comment>
    <comment ref="L5" authorId="0">
      <text>
        <r>
          <rPr>
            <b/>
            <sz val="8"/>
            <rFont val="Tahoma"/>
            <family val="0"/>
          </rPr>
          <t>awitte:</t>
        </r>
        <r>
          <rPr>
            <sz val="8"/>
            <rFont val="Tahoma"/>
            <family val="0"/>
          </rPr>
          <t xml:space="preserve">
Social Security, payment from defined-benefit pension plan and money from investments (including 403 (b)</t>
        </r>
      </text>
    </comment>
    <comment ref="H8" authorId="1">
      <text>
        <r>
          <rPr>
            <b/>
            <sz val="8"/>
            <rFont val="Tahoma"/>
            <family val="0"/>
          </rPr>
          <t>Saundra Gulley:</t>
        </r>
        <r>
          <rPr>
            <sz val="8"/>
            <rFont val="Tahoma"/>
            <family val="0"/>
          </rPr>
          <t xml:space="preserve">
Represents Employer contributions only; Alex stopped making personal contributions when he had to start college tuition payments for his sons</t>
        </r>
      </text>
    </comment>
    <comment ref="L12" authorId="1">
      <text>
        <r>
          <rPr>
            <b/>
            <sz val="8"/>
            <rFont val="Tahoma"/>
            <family val="0"/>
          </rPr>
          <t>Saundra Gulley:</t>
        </r>
        <r>
          <rPr>
            <sz val="8"/>
            <rFont val="Tahoma"/>
            <family val="0"/>
          </rPr>
          <t xml:space="preserve">
This represents the estimated discounted present value of her future  pension plan payments expected to be paid to her after retirement for her remaining average life expectency.  Note this Plan is managed by her Employer and she has no control over how it it invested, so these assets are not included in her Personal Asset Allocation Plan.  However, as a pre-determined future payment (based on her years of service, etc), this pension "asset" is "fixed income" in nature</t>
        </r>
      </text>
    </comment>
    <comment ref="L21" authorId="1">
      <text>
        <r>
          <rPr>
            <b/>
            <sz val="8"/>
            <rFont val="Tahoma"/>
            <family val="0"/>
          </rPr>
          <t>Saundra Gulley:</t>
        </r>
        <r>
          <rPr>
            <sz val="8"/>
            <rFont val="Tahoma"/>
            <family val="0"/>
          </rPr>
          <t xml:space="preserve">
represents $75,000 of a 5yr CD and $60,000 of 1-3 yr CDs timed to pay for her niece's college tuition
</t>
        </r>
      </text>
    </comment>
    <comment ref="P9" authorId="1">
      <text>
        <r>
          <rPr>
            <b/>
            <sz val="8"/>
            <rFont val="Tahoma"/>
            <family val="0"/>
          </rPr>
          <t>Saundra Gulley:</t>
        </r>
        <r>
          <rPr>
            <sz val="8"/>
            <rFont val="Tahoma"/>
            <family val="0"/>
          </rPr>
          <t xml:space="preserve">
Contributions to a Roth IRA
</t>
        </r>
      </text>
    </comment>
    <comment ref="P13" authorId="1">
      <text>
        <r>
          <rPr>
            <b/>
            <sz val="8"/>
            <rFont val="Tahoma"/>
            <family val="0"/>
          </rPr>
          <t>Ann Witte:</t>
        </r>
        <r>
          <rPr>
            <sz val="8"/>
            <rFont val="Tahoma"/>
            <family val="0"/>
          </rPr>
          <t xml:space="preserve">
$16000 in Roth IRA; $24000 in Traditional IRA; Return 3%-4% on average; 
Has contributed to Roth IRA for 5 years; for previous 5 years contributed to Traditional IRA; Total contribution to Roth IRA=$1000 in 2006; $10,000 to Traditional IRA by 2001</t>
        </r>
      </text>
    </comment>
    <comment ref="P10" authorId="1">
      <text>
        <r>
          <rPr>
            <b/>
            <sz val="8"/>
            <rFont val="Tahoma"/>
            <family val="0"/>
          </rPr>
          <t>Saundra Gulley:</t>
        </r>
        <r>
          <rPr>
            <sz val="8"/>
            <rFont val="Tahoma"/>
            <family val="0"/>
          </rPr>
          <t xml:space="preserve">
Note that $4,000 of this represents the Roth IRA contribution
</t>
        </r>
      </text>
    </comment>
    <comment ref="P12" authorId="1">
      <text>
        <r>
          <rPr>
            <b/>
            <sz val="8"/>
            <rFont val="Tahoma"/>
            <family val="0"/>
          </rPr>
          <t>Saundra Gulley:</t>
        </r>
        <r>
          <rPr>
            <sz val="8"/>
            <rFont val="Tahoma"/>
            <family val="0"/>
          </rPr>
          <t xml:space="preserve">
This represents the estimated Present Value of her future pension benefits expected to be paid to her by the Teacher Reitrement System of Texas after retirement, over her remaining average life.  Note this Plan is managed by her Employer and she has no control over how it it invested, so these assets are not included in her Personal Asset Allocation Plan.</t>
        </r>
      </text>
    </comment>
    <comment ref="P25" authorId="1">
      <text>
        <r>
          <rPr>
            <b/>
            <sz val="8"/>
            <rFont val="Tahoma"/>
            <family val="0"/>
          </rPr>
          <t>Saundra Gulley:</t>
        </r>
        <r>
          <rPr>
            <sz val="8"/>
            <rFont val="Tahoma"/>
            <family val="0"/>
          </rPr>
          <t xml:space="preserve">
represents TIPs in their Roth IRA
</t>
        </r>
      </text>
    </comment>
    <comment ref="P24" authorId="1">
      <text>
        <r>
          <rPr>
            <b/>
            <sz val="8"/>
            <rFont val="Tahoma"/>
            <family val="0"/>
          </rPr>
          <t>Saundra Gulley:</t>
        </r>
        <r>
          <rPr>
            <sz val="8"/>
            <rFont val="Tahoma"/>
            <family val="0"/>
          </rPr>
          <t xml:space="preserve">
represents the portion of their IRAs not in TIPs, which currently are invested in fixed income funds</t>
        </r>
      </text>
    </comment>
    <comment ref="S29" authorId="1">
      <text>
        <r>
          <rPr>
            <b/>
            <sz val="8"/>
            <rFont val="Tahoma"/>
            <family val="0"/>
          </rPr>
          <t>Saundra Gulley:</t>
        </r>
        <r>
          <rPr>
            <sz val="8"/>
            <rFont val="Tahoma"/>
            <family val="0"/>
          </rPr>
          <t xml:space="preserve">
He also needs to diversify out of his company stock that's held in his 401k</t>
        </r>
      </text>
    </comment>
    <comment ref="R21" authorId="0">
      <text>
        <r>
          <rPr>
            <b/>
            <sz val="8"/>
            <rFont val="Tahoma"/>
            <family val="0"/>
          </rPr>
          <t>awitte:</t>
        </r>
        <r>
          <rPr>
            <sz val="8"/>
            <rFont val="Tahoma"/>
            <family val="0"/>
          </rPr>
          <t xml:space="preserve">
Need these funds for transaction and to cover 3 months of expenditures in an emergency.</t>
        </r>
      </text>
    </comment>
    <comment ref="R24" authorId="0">
      <text>
        <r>
          <rPr>
            <b/>
            <sz val="8"/>
            <rFont val="Tahoma"/>
            <family val="0"/>
          </rPr>
          <t>awitte:</t>
        </r>
        <r>
          <rPr>
            <sz val="8"/>
            <rFont val="Tahoma"/>
            <family val="0"/>
          </rPr>
          <t xml:space="preserve">
Need these funds for transaction and to cover 3 months of expenditures in an emergency.</t>
        </r>
      </text>
    </comment>
    <comment ref="R25" authorId="0">
      <text>
        <r>
          <rPr>
            <b/>
            <sz val="8"/>
            <rFont val="Tahoma"/>
            <family val="0"/>
          </rPr>
          <t>awitte:</t>
        </r>
        <r>
          <rPr>
            <sz val="8"/>
            <rFont val="Tahoma"/>
            <family val="0"/>
          </rPr>
          <t xml:space="preserve">
Need these funds for transaction and to cover 3 months of expenditures in an emergency.</t>
        </r>
      </text>
    </comment>
    <comment ref="R27" authorId="0">
      <text>
        <r>
          <rPr>
            <b/>
            <sz val="8"/>
            <rFont val="Tahoma"/>
            <family val="0"/>
          </rPr>
          <t>awitte:</t>
        </r>
        <r>
          <rPr>
            <sz val="8"/>
            <rFont val="Tahoma"/>
            <family val="0"/>
          </rPr>
          <t xml:space="preserve">
Need these funds for transaction and to cover 3 months of expenditures in an emergency.</t>
        </r>
      </text>
    </comment>
    <comment ref="A7" authorId="1">
      <text>
        <r>
          <rPr>
            <b/>
            <sz val="8"/>
            <rFont val="Tahoma"/>
            <family val="0"/>
          </rPr>
          <t>Saundra Gulley:</t>
        </r>
        <r>
          <rPr>
            <sz val="8"/>
            <rFont val="Tahoma"/>
            <family val="0"/>
          </rPr>
          <t xml:space="preserve">
Current market value less current balance of outstanding mortgage</t>
        </r>
      </text>
    </comment>
    <comment ref="L19" authorId="1">
      <text>
        <r>
          <rPr>
            <b/>
            <sz val="8"/>
            <rFont val="Tahoma"/>
            <family val="0"/>
          </rPr>
          <t>Saundra Gulley:</t>
        </r>
        <r>
          <rPr>
            <sz val="8"/>
            <rFont val="Tahoma"/>
            <family val="0"/>
          </rPr>
          <t xml:space="preserve">
represents the current equity in her home</t>
        </r>
      </text>
    </comment>
    <comment ref="P19" authorId="1">
      <text>
        <r>
          <rPr>
            <b/>
            <sz val="8"/>
            <rFont val="Tahoma"/>
            <family val="0"/>
          </rPr>
          <t>Saundra Gulley:</t>
        </r>
        <r>
          <rPr>
            <sz val="8"/>
            <rFont val="Tahoma"/>
            <family val="0"/>
          </rPr>
          <t xml:space="preserve">
represents the current equity in their home
</t>
        </r>
      </text>
    </comment>
    <comment ref="P29" authorId="1">
      <text>
        <r>
          <rPr>
            <b/>
            <sz val="8"/>
            <rFont val="Tahoma"/>
            <family val="0"/>
          </rPr>
          <t>Saundra Gulley:</t>
        </r>
        <r>
          <rPr>
            <sz val="8"/>
            <rFont val="Tahoma"/>
            <family val="0"/>
          </rPr>
          <t xml:space="preserve">
represents $50,000 in his 401k ($25,000 of which is his Company's common stock) and $25,000 in his Defined Contribution Plan, invested in a large-cap mutual fund</t>
        </r>
      </text>
    </comment>
    <comment ref="U7" authorId="1">
      <text>
        <r>
          <rPr>
            <b/>
            <sz val="8"/>
            <rFont val="Tahoma"/>
            <family val="0"/>
          </rPr>
          <t>Saundra Gulley:</t>
        </r>
        <r>
          <rPr>
            <sz val="8"/>
            <rFont val="Tahoma"/>
            <family val="0"/>
          </rPr>
          <t xml:space="preserve">
they do not have a mortgage; they paid cash for their home</t>
        </r>
      </text>
    </comment>
    <comment ref="U12" authorId="1">
      <text>
        <r>
          <rPr>
            <b/>
            <sz val="8"/>
            <rFont val="Tahoma"/>
            <family val="0"/>
          </rPr>
          <t>Saundra Gulley:</t>
        </r>
        <r>
          <rPr>
            <sz val="8"/>
            <rFont val="Tahoma"/>
            <family val="0"/>
          </rPr>
          <t xml:space="preserve">
represents the present value of his 3M pension plan which pays him $48,000 a year for an assumed remaining 20-year life expectancy
</t>
        </r>
      </text>
    </comment>
    <comment ref="U20" authorId="1">
      <text>
        <r>
          <rPr>
            <b/>
            <sz val="8"/>
            <rFont val="Tahoma"/>
            <family val="0"/>
          </rPr>
          <t>Saundra Gulley:</t>
        </r>
        <r>
          <rPr>
            <sz val="8"/>
            <rFont val="Tahoma"/>
            <family val="0"/>
          </rPr>
          <t xml:space="preserve">
$10,000 in a checking account and the remainder in a Vanguard money market</t>
        </r>
      </text>
    </comment>
    <comment ref="U33" authorId="1">
      <text>
        <r>
          <rPr>
            <b/>
            <sz val="8"/>
            <rFont val="Tahoma"/>
            <family val="0"/>
          </rPr>
          <t>Saundra Gulley:</t>
        </r>
        <r>
          <rPr>
            <sz val="8"/>
            <rFont val="Tahoma"/>
            <family val="0"/>
          </rPr>
          <t xml:space="preserve">
in funds in their taxable account</t>
        </r>
      </text>
    </comment>
    <comment ref="U29" authorId="1">
      <text>
        <r>
          <rPr>
            <b/>
            <sz val="8"/>
            <rFont val="Tahoma"/>
            <family val="0"/>
          </rPr>
          <t>Saundra Gulley:</t>
        </r>
        <r>
          <rPr>
            <sz val="8"/>
            <rFont val="Tahoma"/>
            <family val="0"/>
          </rPr>
          <t xml:space="preserve">
$125,000 is in his 401k where $25,000 is 3M stock and $100,000 is large-cap mutual funds;the remainder is in their taxable account: $100,000 in 3M stock &amp; $42,000 in equity funds</t>
        </r>
      </text>
    </comment>
    <comment ref="U22" authorId="1">
      <text>
        <r>
          <rPr>
            <b/>
            <sz val="8"/>
            <rFont val="Tahoma"/>
            <family val="0"/>
          </rPr>
          <t>Saundra Gulley:</t>
        </r>
        <r>
          <rPr>
            <sz val="8"/>
            <rFont val="Tahoma"/>
            <family val="0"/>
          </rPr>
          <t xml:space="preserve">
represents bonds &amp; CDs, and includes the $60,000 of their IRA funds
</t>
        </r>
      </text>
    </comment>
    <comment ref="U13" authorId="1">
      <text>
        <r>
          <rPr>
            <b/>
            <sz val="8"/>
            <rFont val="Tahoma"/>
            <family val="0"/>
          </rPr>
          <t>Saundra Gulley:</t>
        </r>
        <r>
          <rPr>
            <sz val="8"/>
            <rFont val="Tahoma"/>
            <family val="0"/>
          </rPr>
          <t xml:space="preserve">
Includes $40,000 in a Traditional IrA and $20,000 in a ROTH IRA</t>
        </r>
      </text>
    </comment>
    <comment ref="AC19" authorId="2">
      <text>
        <r>
          <rPr>
            <b/>
            <sz val="8"/>
            <rFont val="Tahoma"/>
            <family val="0"/>
          </rPr>
          <t>AT:</t>
        </r>
        <r>
          <rPr>
            <sz val="8"/>
            <rFont val="Tahoma"/>
            <family val="0"/>
          </rPr>
          <t xml:space="preserve">
Will probably own a house; 80% Consumption good
and Vanguard's REIT (VGSIX)</t>
        </r>
      </text>
    </comment>
    <comment ref="AC20" authorId="2">
      <text>
        <r>
          <rPr>
            <b/>
            <sz val="8"/>
            <rFont val="Tahoma"/>
            <family val="0"/>
          </rPr>
          <t>AT:</t>
        </r>
        <r>
          <rPr>
            <sz val="8"/>
            <rFont val="Tahoma"/>
            <family val="0"/>
          </rPr>
          <t xml:space="preserve">
To cover recurrent payments for 5 months in case of emergency
Bank of America accounts</t>
        </r>
      </text>
    </comment>
    <comment ref="AC21" authorId="3">
      <text>
        <r>
          <rPr>
            <b/>
            <sz val="8"/>
            <rFont val="Tahoma"/>
            <family val="0"/>
          </rPr>
          <t>lynn wang:</t>
        </r>
        <r>
          <rPr>
            <sz val="8"/>
            <rFont val="Tahoma"/>
            <family val="0"/>
          </rPr>
          <t xml:space="preserve">
US Treasuries (2 year)</t>
        </r>
      </text>
    </comment>
    <comment ref="AC23" authorId="2">
      <text>
        <r>
          <rPr>
            <b/>
            <sz val="8"/>
            <rFont val="Tahoma"/>
            <family val="0"/>
          </rPr>
          <t>AT:</t>
        </r>
        <r>
          <rPr>
            <sz val="8"/>
            <rFont val="Tahoma"/>
            <family val="0"/>
          </rPr>
          <t xml:space="preserve">
Marginal tax on interest is now 30%, but with her salary increase &amp; her possible move to CA, her marginal tax rate will will be higher in 10 years, so Bridget should switch to municipal bonds</t>
        </r>
      </text>
    </comment>
    <comment ref="AC27" authorId="2">
      <text>
        <r>
          <rPr>
            <b/>
            <sz val="8"/>
            <rFont val="Tahoma"/>
            <family val="0"/>
          </rPr>
          <t>AT:</t>
        </r>
        <r>
          <rPr>
            <sz val="8"/>
            <rFont val="Tahoma"/>
            <family val="0"/>
          </rPr>
          <t xml:space="preserve">
Invest in Wilshire 5000 for whole market exposure</t>
        </r>
      </text>
    </comment>
    <comment ref="AC33" authorId="3">
      <text>
        <r>
          <rPr>
            <b/>
            <sz val="8"/>
            <rFont val="Tahoma"/>
            <family val="0"/>
          </rPr>
          <t>lynn wang:</t>
        </r>
        <r>
          <rPr>
            <sz val="8"/>
            <rFont val="Tahoma"/>
            <family val="0"/>
          </rPr>
          <t xml:space="preserve">
Dow Jones World Stock Index (W2BSC)
Vanguard European Stock Index Fund</t>
        </r>
      </text>
    </comment>
    <comment ref="AC35" authorId="3">
      <text>
        <r>
          <rPr>
            <b/>
            <sz val="8"/>
            <rFont val="Tahoma"/>
            <family val="0"/>
          </rPr>
          <t>lynn wang:</t>
        </r>
        <r>
          <rPr>
            <sz val="8"/>
            <rFont val="Tahoma"/>
            <family val="0"/>
          </rPr>
          <t xml:space="preserve">
MSCI EMF
GEMAX</t>
        </r>
      </text>
    </comment>
    <comment ref="AC41" authorId="2">
      <text>
        <r>
          <rPr>
            <b/>
            <sz val="8"/>
            <rFont val="Tahoma"/>
            <family val="0"/>
          </rPr>
          <t>AT:</t>
        </r>
        <r>
          <rPr>
            <sz val="8"/>
            <rFont val="Tahoma"/>
            <family val="0"/>
          </rPr>
          <t xml:space="preserve">
Bridget is an artist and will probably use her human capital in such asset classes</t>
        </r>
      </text>
    </comment>
    <comment ref="Z21" authorId="1">
      <text>
        <r>
          <rPr>
            <b/>
            <sz val="8"/>
            <rFont val="Tahoma"/>
            <family val="0"/>
          </rPr>
          <t>Saundra Gulley:</t>
        </r>
        <r>
          <rPr>
            <sz val="8"/>
            <rFont val="Tahoma"/>
            <family val="0"/>
          </rPr>
          <t xml:space="preserve">
This is all in her 401k (20% taxable fixed income)</t>
        </r>
      </text>
    </comment>
    <comment ref="Z28" authorId="1">
      <text>
        <r>
          <rPr>
            <b/>
            <sz val="8"/>
            <rFont val="Tahoma"/>
            <family val="0"/>
          </rPr>
          <t>Saundra Gulley:</t>
        </r>
        <r>
          <rPr>
            <sz val="8"/>
            <rFont val="Tahoma"/>
            <family val="0"/>
          </rPr>
          <t xml:space="preserve">
this is all in her 401k (40% invested in US total market fund)
</t>
        </r>
      </text>
    </comment>
    <comment ref="Z33" authorId="1">
      <text>
        <r>
          <rPr>
            <b/>
            <sz val="8"/>
            <rFont val="Tahoma"/>
            <family val="0"/>
          </rPr>
          <t>Saundra Gulley:</t>
        </r>
        <r>
          <rPr>
            <sz val="8"/>
            <rFont val="Tahoma"/>
            <family val="0"/>
          </rPr>
          <t xml:space="preserve">
this is all in her 401k (15% invested in non-US Developed Equity funds)</t>
        </r>
      </text>
    </comment>
    <comment ref="Z35" authorId="1">
      <text>
        <r>
          <rPr>
            <b/>
            <sz val="8"/>
            <rFont val="Tahoma"/>
            <family val="0"/>
          </rPr>
          <t>Saundra Gulley:</t>
        </r>
        <r>
          <rPr>
            <sz val="8"/>
            <rFont val="Tahoma"/>
            <family val="0"/>
          </rPr>
          <t xml:space="preserve">
this is all in her 401k (5% invested in Emerging Equity fund)</t>
        </r>
      </text>
    </comment>
    <comment ref="AB20" authorId="1">
      <text>
        <r>
          <rPr>
            <b/>
            <sz val="8"/>
            <rFont val="Tahoma"/>
            <family val="0"/>
          </rPr>
          <t>Saundra Gulley:</t>
        </r>
        <r>
          <rPr>
            <sz val="8"/>
            <rFont val="Tahoma"/>
            <family val="0"/>
          </rPr>
          <t xml:space="preserve">
She needs to build an emergency fund after she gets her budget under control</t>
        </r>
      </text>
    </comment>
    <comment ref="AC10" authorId="2">
      <text>
        <r>
          <rPr>
            <b/>
            <sz val="8"/>
            <rFont val="Tahoma"/>
            <family val="0"/>
          </rPr>
          <t>AT:</t>
        </r>
        <r>
          <rPr>
            <sz val="8"/>
            <rFont val="Tahoma"/>
            <family val="0"/>
          </rPr>
          <t xml:space="preserve">
Savings build up as Bridget stops helping her parents out with money and has an increase in salary: ~$70000 in assets in 10 years</t>
        </r>
      </text>
    </comment>
    <comment ref="AC15" authorId="1">
      <text>
        <r>
          <rPr>
            <b/>
            <sz val="8"/>
            <rFont val="Tahoma"/>
            <family val="0"/>
          </rPr>
          <t>Saundra Gulley:</t>
        </r>
        <r>
          <rPr>
            <sz val="8"/>
            <rFont val="Tahoma"/>
            <family val="0"/>
          </rPr>
          <t xml:space="preserve">
Projected estimate based on her expected income level</t>
        </r>
      </text>
    </comment>
    <comment ref="AC14" authorId="1">
      <text>
        <r>
          <rPr>
            <b/>
            <sz val="8"/>
            <rFont val="Tahoma"/>
            <family val="0"/>
          </rPr>
          <t>Saundra Gulley:</t>
        </r>
        <r>
          <rPr>
            <sz val="8"/>
            <rFont val="Tahoma"/>
            <family val="0"/>
          </rPr>
          <t xml:space="preserve">
Projected estimate based on her expected income level</t>
        </r>
      </text>
    </comment>
    <comment ref="AC7" authorId="1">
      <text>
        <r>
          <rPr>
            <b/>
            <sz val="8"/>
            <rFont val="Tahoma"/>
            <family val="0"/>
          </rPr>
          <t>Saundra Gulley:</t>
        </r>
        <r>
          <rPr>
            <sz val="8"/>
            <rFont val="Tahoma"/>
            <family val="0"/>
          </rPr>
          <t xml:space="preserve">
Assumed she will own a home (assuming 80% consumption value), but exact equity value is not determinable</t>
        </r>
      </text>
    </comment>
    <comment ref="Q20" authorId="1">
      <text>
        <r>
          <rPr>
            <b/>
            <sz val="8"/>
            <rFont val="Tahoma"/>
            <family val="0"/>
          </rPr>
          <t>Saundra Gulley:</t>
        </r>
        <r>
          <rPr>
            <sz val="8"/>
            <rFont val="Tahoma"/>
            <family val="0"/>
          </rPr>
          <t xml:space="preserve">
Need these funds for transaction and to cover 3 months of expenditures in an emergency.</t>
        </r>
      </text>
    </comment>
    <comment ref="P31" authorId="1">
      <text>
        <r>
          <rPr>
            <b/>
            <sz val="8"/>
            <rFont val="Tahoma"/>
            <family val="0"/>
          </rPr>
          <t>Saundra Gulley:</t>
        </r>
        <r>
          <rPr>
            <sz val="8"/>
            <rFont val="Tahoma"/>
            <family val="0"/>
          </rPr>
          <t xml:space="preserve">
Is all in his Defined Contribution Plan, invested in a Small-cap fund</t>
        </r>
      </text>
    </comment>
  </commentList>
</comments>
</file>

<file path=xl/sharedStrings.xml><?xml version="1.0" encoding="utf-8"?>
<sst xmlns="http://schemas.openxmlformats.org/spreadsheetml/2006/main" count="666" uniqueCount="415">
  <si>
    <t>Marital Status</t>
  </si>
  <si>
    <t>Children</t>
  </si>
  <si>
    <t>Residence Location</t>
  </si>
  <si>
    <t>College?</t>
  </si>
  <si>
    <t>Graduate School?</t>
  </si>
  <si>
    <t xml:space="preserve">  Assumed Mortgage Rate</t>
  </si>
  <si>
    <t xml:space="preserve">  Years Remaining on Mortgage</t>
  </si>
  <si>
    <t xml:space="preserve">  Home Equity Line Rate</t>
  </si>
  <si>
    <t xml:space="preserve">  Housing - Rent (annual)</t>
  </si>
  <si>
    <t xml:space="preserve">  Housing - Mortgage payments (annual)</t>
  </si>
  <si>
    <t xml:space="preserve">  Housing - Home equity line (annual)</t>
  </si>
  <si>
    <t xml:space="preserve">  Insurance - Medical</t>
  </si>
  <si>
    <t xml:space="preserve">  Insurance - Homeowners/Liability</t>
  </si>
  <si>
    <t xml:space="preserve">  Home - Current Market Value (a)</t>
  </si>
  <si>
    <t xml:space="preserve">(a) Based on the House Price Calculator provided by the Office of Federal Housing Enterprise Oversight on their website http://www.ofheo.gov/Landing.asp. </t>
  </si>
  <si>
    <t xml:space="preserve">  Retirement - 401(k)</t>
  </si>
  <si>
    <t xml:space="preserve">  Auto Loans - Remaining Balance</t>
  </si>
  <si>
    <t xml:space="preserve">  Mortgage - Remaining Balance</t>
  </si>
  <si>
    <t xml:space="preserve">  Insurance - Auto</t>
  </si>
  <si>
    <t xml:space="preserve">  Autos - Current Market Value (b)</t>
  </si>
  <si>
    <t>Own Home?</t>
  </si>
  <si>
    <t>Number of Autos</t>
  </si>
  <si>
    <t xml:space="preserve">  Investments (stocks, bonds, etc)</t>
  </si>
  <si>
    <t>Miami</t>
  </si>
  <si>
    <t>Chicago</t>
  </si>
  <si>
    <t>L.A.</t>
  </si>
  <si>
    <t>Houston</t>
  </si>
  <si>
    <t>No</t>
  </si>
  <si>
    <t>N/A</t>
  </si>
  <si>
    <t>Age - Adult Female</t>
  </si>
  <si>
    <t>Age - Adult Male</t>
  </si>
  <si>
    <t>TBD</t>
  </si>
  <si>
    <t>Single</t>
  </si>
  <si>
    <t>Married</t>
  </si>
  <si>
    <t>Divorced</t>
  </si>
  <si>
    <t>INCOME (Average Annual Salary, Pre-tax)</t>
  </si>
  <si>
    <t>INCOME (Average Annual Other, Pre-tax)</t>
  </si>
  <si>
    <t>INCOME - Total Pre-tax</t>
  </si>
  <si>
    <t xml:space="preserve">  Self - 401(k)</t>
  </si>
  <si>
    <t xml:space="preserve">  By Employer - 401(k)</t>
  </si>
  <si>
    <t>Yes</t>
  </si>
  <si>
    <t>Phoenix</t>
  </si>
  <si>
    <t>Pension</t>
  </si>
  <si>
    <t>30 years as manager</t>
  </si>
  <si>
    <t>Investments</t>
  </si>
  <si>
    <t>Social Security</t>
  </si>
  <si>
    <t>Retired Couple</t>
  </si>
  <si>
    <t>Sean &amp; Marie</t>
  </si>
  <si>
    <t>Low Income Single Mom</t>
  </si>
  <si>
    <t>Middle Class Divorced Father</t>
  </si>
  <si>
    <t>Upper Class Two-Parent Family</t>
  </si>
  <si>
    <t>Working Class Two-Parent Family</t>
  </si>
  <si>
    <t>Upper Middle Class Single Woman</t>
  </si>
  <si>
    <t>Two-Career Professional Family</t>
  </si>
  <si>
    <t>Aleks</t>
  </si>
  <si>
    <t>John &amp; Sarah</t>
  </si>
  <si>
    <t>Eric &amp; Katlyn</t>
  </si>
  <si>
    <t>Steven &amp; Pamela</t>
  </si>
  <si>
    <t>* 2004 Earned Income Tax Credit</t>
  </si>
  <si>
    <t>Household Operations, Supplies, Furniture &amp; Equipment</t>
  </si>
  <si>
    <t>Food</t>
  </si>
  <si>
    <t>Apparel &amp; Services</t>
  </si>
  <si>
    <t>Transportation</t>
  </si>
  <si>
    <t>Personal Care Products &amp; Services</t>
  </si>
  <si>
    <t>Cash Contributions</t>
  </si>
  <si>
    <t>Miscellaneous</t>
  </si>
  <si>
    <t>Total Expenditures</t>
  </si>
  <si>
    <t>Federal Income Tax</t>
  </si>
  <si>
    <t>FICA Old Age</t>
  </si>
  <si>
    <t>FICA Medicare</t>
  </si>
  <si>
    <t>INCOME - After tax</t>
  </si>
  <si>
    <t>After Tax Income - Expenditures</t>
  </si>
  <si>
    <t>Loan or Credit Card Repayment</t>
  </si>
  <si>
    <t>Entertainment &amp; Vacations</t>
  </si>
  <si>
    <t>None</t>
  </si>
  <si>
    <t>Health Care (not covered by insurance)</t>
  </si>
  <si>
    <t>Boston-zip 02127</t>
  </si>
  <si>
    <t>Expenditures were estimated by using the Survey of  Consumer Expenditures and adjusting for family size and geographic location</t>
  </si>
  <si>
    <t>Child Support</t>
  </si>
  <si>
    <t>(b) Blue book</t>
  </si>
  <si>
    <t>(d) Balance represents the current value of an immediate annuity from a AAA-rated provider that would duplicate the future accrued benefits of the Defined Pension Plan if the individual stopped working today.  (Note source of calculator:  Berkshire Hathoway site)</t>
  </si>
  <si>
    <t>Child support payments were estimated using http://www.alllaw.com/calculators/Childsupport/illinois/</t>
  </si>
  <si>
    <t>Maximum student loan for junior or senior is $5500; for middle class family assume that Thomas works 20 hours per week at $8 per hour</t>
  </si>
  <si>
    <t>947 Vendome Street, LA, CA 90026</t>
  </si>
  <si>
    <t xml:space="preserve">9800 N. Summer Hill Blvd., Fountain Hills, AZ 85268 </t>
  </si>
  <si>
    <t>Partially Paid from Child Support</t>
  </si>
  <si>
    <t>East Third Street, South Boston</t>
  </si>
  <si>
    <t>Ana Maria</t>
  </si>
  <si>
    <t>CA taxes calculated using tax calculator at http://www.ftb.ca.gov/individuals/tax_table/index.asp</t>
  </si>
  <si>
    <t>Home insurance rate .5% X value of home. Source: http://www.barbarahomes.com/r_mortgage-calculator_rentvsbuy.asp</t>
  </si>
  <si>
    <t>Chicago property tax: 1% of 1/3 of values. Source:http://www.barbarahomes.com/r_mortgage-calculator_rentvsbuy.asp &amp; www.chicagobar.org</t>
  </si>
  <si>
    <t>Marginal Federal Tax Rate</t>
  </si>
  <si>
    <t>Marginal City Tax Rate</t>
  </si>
  <si>
    <t>Auto insurance quotes were obtained using http://www.geico.com/</t>
  </si>
  <si>
    <t>14720 NE South Spur Dr., North Miami, FL 33161</t>
  </si>
  <si>
    <t>228 North Oak Park Avenue, Oak Park, IL 60302-2170</t>
  </si>
  <si>
    <t xml:space="preserve">Type of Car(s) </t>
  </si>
  <si>
    <t>3 year-old Chevrolet Impala</t>
  </si>
  <si>
    <t>9 month-old Volvo XC90; 2 1/2 year-old Chevrolet Avalanche</t>
  </si>
  <si>
    <t>4420 Tonawanda Drive, Houston, TX 77035</t>
  </si>
  <si>
    <t>2004 Cadellac Deville &amp; 2000 Chevy Monte Carlo</t>
  </si>
  <si>
    <t>State &amp; Local Income Tax (amt withheld or estimated)</t>
  </si>
  <si>
    <t xml:space="preserve">  Liquid - Savings/Checking/MM</t>
  </si>
  <si>
    <t>Health Status</t>
  </si>
  <si>
    <t>Good</t>
  </si>
  <si>
    <t>Fair</t>
  </si>
  <si>
    <t>Excellent</t>
  </si>
  <si>
    <t>II. INCOME DATA</t>
  </si>
  <si>
    <t>III. TAX INFORMATION</t>
  </si>
  <si>
    <t>V. EXPENSES - PRIMARY</t>
  </si>
  <si>
    <t>VI. EXPENSES - INSURANCE</t>
  </si>
  <si>
    <t>VII. EXPENSES - LOAN PAYMENTS</t>
  </si>
  <si>
    <t>VIII. EXPENSES - OTHER</t>
  </si>
  <si>
    <t>IX. ASSETS</t>
  </si>
  <si>
    <t>X. LIABILITIES</t>
  </si>
  <si>
    <t>XI. TAX RATES</t>
  </si>
  <si>
    <t>Household type (NYT Classification &amp; Other Important Characteristics)</t>
  </si>
  <si>
    <t>Net Worth (Assets-Liabilities)</t>
  </si>
  <si>
    <t xml:space="preserve">  Retirement - Defined Benefit Pension (c )</t>
  </si>
  <si>
    <t xml:space="preserve">  Retirement - IRAs</t>
  </si>
  <si>
    <t>Marginal Home State Tax Rate</t>
  </si>
  <si>
    <t>Marginal State Tax Rate (if work out of state)</t>
  </si>
  <si>
    <t>(c ) All loan calculations were made using the calculator provided by Commerce Clearing House on their website http://www.finance.cch.com/tools/calcs.asp.</t>
  </si>
  <si>
    <t>144 Deforest Rd., Wilton, CT  06897</t>
  </si>
  <si>
    <t>Wilton, CT</t>
  </si>
  <si>
    <t>INCOME (Ave. Annual Investments, Pre-tax)</t>
  </si>
  <si>
    <t>JOHN</t>
  </si>
  <si>
    <t>SARAH</t>
  </si>
  <si>
    <t>year</t>
  </si>
  <si>
    <t>Short term</t>
  </si>
  <si>
    <t>Assumed</t>
  </si>
  <si>
    <t>ira</t>
  </si>
  <si>
    <t>401k</t>
  </si>
  <si>
    <t xml:space="preserve">401k </t>
  </si>
  <si>
    <t>mm rates</t>
  </si>
  <si>
    <t>Return rate</t>
  </si>
  <si>
    <t>contrib</t>
  </si>
  <si>
    <t>bal</t>
  </si>
  <si>
    <t>match</t>
  </si>
  <si>
    <t>"Round" figure used for Prototype Spreadsheet:</t>
  </si>
  <si>
    <t>Employer can contribute (matching or otherwise) approx. up to 25% of salary, up to max of around $40,000 of AGGREGATE annual contribution by both employee &amp; Employer</t>
  </si>
  <si>
    <t>John:</t>
  </si>
  <si>
    <t>Sarah:</t>
  </si>
  <si>
    <t>Christopher (5); Bethany (3)</t>
  </si>
  <si>
    <t>Yes - both</t>
  </si>
  <si>
    <t>MBA (John); JD (Sarah)</t>
  </si>
  <si>
    <t>2003 Porsche Boxter; 2000 Volvo V40 wagon; 1997 Honda Accord</t>
  </si>
  <si>
    <t>Address Used</t>
  </si>
  <si>
    <t>Name of Household Head(s)</t>
  </si>
  <si>
    <t>Profession - Adult Female</t>
  </si>
  <si>
    <t>Profession - Adult Male</t>
  </si>
  <si>
    <t>Shamila</t>
  </si>
  <si>
    <t>Nurse's aid</t>
  </si>
  <si>
    <t>poor</t>
  </si>
  <si>
    <t>Samantha (2) Ackeen (8)</t>
  </si>
  <si>
    <t xml:space="preserve">  Insurance - Life</t>
  </si>
  <si>
    <t xml:space="preserve">  Insurance - Disability</t>
  </si>
  <si>
    <t>Auto loan payments (annual)</t>
  </si>
  <si>
    <t xml:space="preserve">School expenses (private, college, etc) </t>
  </si>
  <si>
    <t>Housing:</t>
  </si>
  <si>
    <t xml:space="preserve">  Housing - Utilities, Fuel &amp; Public Services</t>
  </si>
  <si>
    <t xml:space="preserve">  Housing - Maintenance</t>
  </si>
  <si>
    <t xml:space="preserve">  Housing - Taxes (property tax)</t>
  </si>
  <si>
    <t>Other taxes (Intangible, wealth, etc)</t>
  </si>
  <si>
    <t xml:space="preserve">  Home - Year purchased</t>
  </si>
  <si>
    <t xml:space="preserve">  Home - Purchase Price</t>
  </si>
  <si>
    <t>2000</t>
  </si>
  <si>
    <t xml:space="preserve">  Self-Defined Benefit Pension Plan</t>
  </si>
  <si>
    <t xml:space="preserve">  529 College Plan</t>
  </si>
  <si>
    <t>IV. RETIREMENT/TAX ADVANTAGED CONTRIBUTIONS (pretax annual)</t>
  </si>
  <si>
    <t xml:space="preserve">  Stock Options (non-vested - Employer)</t>
  </si>
  <si>
    <t xml:space="preserve">  Life Insurance (only if cash value component)</t>
  </si>
  <si>
    <t>Sean Jr (15); Kelley (13); Patrick (11)</t>
  </si>
  <si>
    <t>Computer room supervisor</t>
  </si>
  <si>
    <t>Security Guard - apartment complex</t>
  </si>
  <si>
    <t>Beautician</t>
  </si>
  <si>
    <t>Thomas (20); Sebastien (18)</t>
  </si>
  <si>
    <t>Registered Nurse (RN)</t>
  </si>
  <si>
    <t>Corporate Attorney</t>
  </si>
  <si>
    <t>Investment Banker - Managing Director</t>
  </si>
  <si>
    <t>Niece - Natalia</t>
  </si>
  <si>
    <t>Other Household Members/Dependents</t>
  </si>
  <si>
    <t>Jeffrey (10; Mary (7)</t>
  </si>
  <si>
    <t>Elementary school teacher</t>
  </si>
  <si>
    <t xml:space="preserve">  Other Loans</t>
  </si>
  <si>
    <t xml:space="preserve">  Other Accrued Liabilites</t>
  </si>
  <si>
    <t xml:space="preserve">  Unpaid Bills - past due</t>
  </si>
  <si>
    <t>Retired Stay-at-home Mom</t>
  </si>
  <si>
    <t>Retired 3M employee</t>
  </si>
  <si>
    <t>2 grown; 3 grandchildren (15, 12, 9)</t>
  </si>
  <si>
    <t xml:space="preserve">  Home Equity Line Available</t>
  </si>
  <si>
    <t xml:space="preserve">  Home Equity Line Balance Outstanding</t>
  </si>
  <si>
    <t>Transportation - Property Tax on Vehicles</t>
  </si>
  <si>
    <t>(e) Applicable local or state multiplier used to derive Assessment Value (ie, Current Market Value x Multiplier = Assessed Value, which in turn is used to calculate the Property Tax using the mil rate.</t>
  </si>
  <si>
    <t>TO GET FOR JOHN</t>
  </si>
  <si>
    <t>TO REVISE FOR 4.65%</t>
  </si>
  <si>
    <t>Nanny</t>
  </si>
  <si>
    <t>1999 Ford Taurus SE Wagon</t>
  </si>
  <si>
    <t>2001 Lexus LX 470 SUV</t>
  </si>
  <si>
    <t>In calculating taxes--property tax first, next state income tax and finally federal income tax</t>
  </si>
  <si>
    <t>TBD (slg)</t>
  </si>
  <si>
    <t>I.  KEY IDENTIFYING CHARACTERISTICS</t>
  </si>
  <si>
    <t>Personal Finance:  A Lifestyle Approach -- The Prototypes</t>
  </si>
  <si>
    <t>Gulley/Witte Working Draft</t>
  </si>
  <si>
    <t>Upper Middle Class Single Women, Recent Graduate</t>
  </si>
  <si>
    <t>Bridget</t>
  </si>
  <si>
    <t>Cambridge, MA</t>
  </si>
  <si>
    <t>Architectural Drafter / Interior Designer</t>
  </si>
  <si>
    <t>Supports Parents to extent possible</t>
  </si>
  <si>
    <t>n/a</t>
  </si>
  <si>
    <t>as architect</t>
  </si>
  <si>
    <t>self-employ</t>
  </si>
  <si>
    <t xml:space="preserve">101 Gore Street, 
Cambridge, MA 02139 </t>
  </si>
  <si>
    <t>1999 Honda Civic </t>
  </si>
  <si>
    <t>Stafford Loan Repayment</t>
  </si>
  <si>
    <t>Perkins Loan Repayment</t>
  </si>
  <si>
    <t>$78,837.50 total cost of Graduate Education at MIT for 3.5 years</t>
  </si>
  <si>
    <t>$25,500 in Stafford loan for 3 years</t>
  </si>
  <si>
    <t>$18,000 in Perkins loan for 3 years</t>
  </si>
  <si>
    <r>
      <t>$43,500</t>
    </r>
    <r>
      <rPr>
        <sz val="12"/>
        <rFont val="Times New Roman"/>
        <family val="1"/>
      </rPr>
      <t xml:space="preserve"> total borrowed, rest paid by parents.</t>
    </r>
  </si>
  <si>
    <t>Stafford Loan:***</t>
  </si>
  <si>
    <t>Federal Perkins Loan:***</t>
  </si>
  <si>
    <t>Standard Repayment for Loan Consolidation*****</t>
  </si>
  <si>
    <t>Graduate Student Maximum: $8,500/year</t>
  </si>
  <si>
    <t>Annual max: $6000/year</t>
  </si>
  <si>
    <t>Repayment starts 6 months after graduation</t>
  </si>
  <si>
    <t>Begins 9 months after graduation</t>
  </si>
  <si>
    <t>Initial Balance:  </t>
  </si>
  <si>
    <t>Could go up to 25 years</t>
  </si>
  <si>
    <t>Pay back in 10 years</t>
  </si>
  <si>
    <t>Interest Rate:  </t>
  </si>
  <si>
    <t>6.125 %</t>
  </si>
  <si>
    <t>annual interest rate: 6.8%</t>
  </si>
  <si>
    <t>5% fixed interest rates</t>
  </si>
  <si>
    <t>Maximum Payback Period:  </t>
  </si>
  <si>
    <t>20 years</t>
  </si>
  <si>
    <r>
      <t> </t>
    </r>
    <r>
      <rPr>
        <b/>
        <sz val="10"/>
        <rFont val="Arial"/>
        <family val="0"/>
      </rPr>
      <t>Monthly Payment Schedule:</t>
    </r>
  </si>
  <si>
    <t>Loan Balance: ****</t>
  </si>
  <si>
    <t xml:space="preserve">Loan Balance:**** </t>
  </si>
  <si>
    <t xml:space="preserve">Loan Interest Rate: </t>
  </si>
  <si>
    <t xml:space="preserve">Loan Term: </t>
  </si>
  <si>
    <t>25 years</t>
  </si>
  <si>
    <t>10 years</t>
  </si>
  <si>
    <t>Monthly Payment: </t>
  </si>
  <si>
    <t xml:space="preserve">Minimum Payment: </t>
  </si>
  <si>
    <r>
      <t> </t>
    </r>
    <r>
      <rPr>
        <b/>
        <sz val="10"/>
        <rFont val="Arial"/>
        <family val="0"/>
      </rPr>
      <t>Payment Summary:</t>
    </r>
  </si>
  <si>
    <t>Monthly Loan Payment:</t>
  </si>
  <si>
    <t>Total $ Payments: </t>
  </si>
  <si>
    <t xml:space="preserve">Number of Payments: </t>
  </si>
  <si>
    <t>Total Interest: </t>
  </si>
  <si>
    <t xml:space="preserve">Cumulative Payments: </t>
  </si>
  <si>
    <t xml:space="preserve">Total Interest Paid: </t>
  </si>
  <si>
    <t>Total # of Payments: </t>
  </si>
  <si>
    <t>Note: The monthly loan payment was calculated at 119 payments of $222.74 plus a final payment of $222.36 .</t>
  </si>
  <si>
    <t>***Loan Description: V. Bajtelsmit.  Personal Finance. Hoboken, NJ: John Wiley &amp; Sons, Inc., 2006, P.205</t>
  </si>
  <si>
    <t>****Repayment Schedule Calculator: http://www.finaid.org/calculators/loanpayments.phtml</t>
  </si>
  <si>
    <r>
      <t>Interest Rates on Loans:</t>
    </r>
    <r>
      <rPr>
        <u val="single"/>
        <sz val="10"/>
        <color indexed="12"/>
        <rFont val="Arial"/>
        <family val="0"/>
      </rPr>
      <t xml:space="preserve"> http://www.salliemae.com/get_student_loan/find_student_loan/grad/compare/</t>
    </r>
  </si>
  <si>
    <t>***** Consolidation of the two loans:  &lt;http://www.salliemae.com/content/tools/calculators/consolidation/levelrepayment.html&gt;</t>
  </si>
  <si>
    <t>Prototype #8 - Bridget:   Student Loan Schedule &amp; Consolidation</t>
  </si>
  <si>
    <t xml:space="preserve">  Credit Card Debt Outstanding Balance</t>
  </si>
  <si>
    <t>Total Matched by Employer for the Year</t>
  </si>
  <si>
    <t>Total Additional $$ to 401(k) Each Year:</t>
  </si>
  <si>
    <t>The Power of 401(k) Employer Matching:  The "No-Brainer" Investment</t>
  </si>
  <si>
    <t>Your Contribution Per Paycheck:</t>
  </si>
  <si>
    <t>Let's Assume Your Employer 50% Matches Your Individual 401(k) Contributions, up to an Annual Dollar Max of 10% of Your</t>
  </si>
  <si>
    <t>Salary -- This is Similar to the Plan Offered by the Prototype Bridget's Employer, which gives her $0.50 for Every Dollar She</t>
  </si>
  <si>
    <t>OBSERVATION #1:</t>
  </si>
  <si>
    <t>Money in One Year??!!</t>
  </si>
  <si>
    <t>OBSERVATION #2:</t>
  </si>
  <si>
    <t>If Your Employer Matches, You Need to Figure Out a Way to Take the</t>
  </si>
  <si>
    <t>Greatest Possible Advantage of this Benefit!</t>
  </si>
  <si>
    <t>OBSERVATION #3:</t>
  </si>
  <si>
    <t>Look at the Returns and the Future Value to You of Budgeting the</t>
  </si>
  <si>
    <t>Following Contributions to Your Employer's Matched 401(k) Plan:</t>
  </si>
  <si>
    <t>Your Total Contributions for the Year:</t>
  </si>
  <si>
    <t>The Future Value at Age 65 (If You're 23 Today):</t>
  </si>
  <si>
    <t>The IRS' Current Maximum Allowable Annual Contribution by an Individual is $14,000</t>
  </si>
  <si>
    <t>IRR CALCULATIONS BELOW:</t>
  </si>
  <si>
    <t>Where Else Can You Get a GUARANTEED 50% Return on your</t>
  </si>
  <si>
    <t>Contributes (up to $4,295 = 10% of her Salary) to the Company's 401(k).  That's 50% of $4,295 or $2,148 FREE Each Year</t>
  </si>
  <si>
    <t>Note IRR Calculations Assume the 401(k) Assets are Earning a "Moderate" Annual Return of 6%</t>
  </si>
  <si>
    <t>Year 1</t>
  </si>
  <si>
    <t>Year 2</t>
  </si>
  <si>
    <t>Year 3</t>
  </si>
  <si>
    <t>Year 4</t>
  </si>
  <si>
    <t>Year 5</t>
  </si>
  <si>
    <t>Your Contribution</t>
  </si>
  <si>
    <t>Employer Match</t>
  </si>
  <si>
    <t>Earnings on Previous Year's Balance</t>
  </si>
  <si>
    <t>Year End Balance</t>
  </si>
  <si>
    <t>Balance at End of 5 Years:</t>
  </si>
  <si>
    <t>IRR</t>
  </si>
  <si>
    <t>$30 Contribution Per Paycheck</t>
  </si>
  <si>
    <t>$100 Contribution Per Paycheck</t>
  </si>
  <si>
    <t>$538 Contribution Per Paycheck</t>
  </si>
  <si>
    <t>$200 Contribution Per Paycheck</t>
  </si>
  <si>
    <t>IRR on Your 401(k) in Just 5 Years:</t>
  </si>
  <si>
    <t>Illustrative Example of How You Might Do It:</t>
  </si>
  <si>
    <t>Buy 3 Fewer Starbuck's a Week</t>
  </si>
  <si>
    <t>Assumes Bridget's Salary (of  $42,950 per year) and 10% Cap on Matching by the Employer</t>
  </si>
  <si>
    <t>You will have to earn more than $43,000/yr; but you could cut back as in the previous suggestions, and consider fewer discretionary purchases</t>
  </si>
  <si>
    <t>OBSERVATION #4:</t>
  </si>
  <si>
    <t xml:space="preserve">Current Tax Law Allows You to Borrow From Your Own 401(k) (e.g., for </t>
  </si>
  <si>
    <t xml:space="preserve">Education, Purchasing a Home), and Repay over a set number of Years. </t>
  </si>
  <si>
    <t>So You Retain the Flexibility to Access Your Own Funds in an</t>
  </si>
  <si>
    <t>Voluntarily or Involuntarily), the Loan From Your 401(k) is Immediately</t>
  </si>
  <si>
    <t>Due and Payable in Full</t>
  </si>
  <si>
    <t>Emergency.  But be Warned:  If Your Employment Terminates (either</t>
  </si>
  <si>
    <t>Go out to Dinner 2-3 Less a month and/or brown-bag lunch 4-6 times a month, and/or forego cable (or premium cable) service</t>
  </si>
  <si>
    <t>Own a Less-Expensive (even "used") car; or try Public Transportation.  Just in parking, Bridget would save $1,200 a year</t>
  </si>
  <si>
    <t>Current &amp; Recommmended Asset Allocations for the Prototypes</t>
  </si>
  <si>
    <t>Actual Asset Allocation (%)</t>
  </si>
  <si>
    <t>Recommended Asset Allocation*</t>
  </si>
  <si>
    <t>Actual Asset Allocation</t>
  </si>
  <si>
    <t>Actual Asset Allocation (Excluding Housing)</t>
  </si>
  <si>
    <t>Assets          ($ Holdings)</t>
  </si>
  <si>
    <t>Recommended Asset Allocation (Excluding Housing)</t>
  </si>
  <si>
    <t>Recommended Asset Allocation After 10 or More Years</t>
  </si>
  <si>
    <t>Factors Impacting Long-term Investment Decisions</t>
  </si>
  <si>
    <t>Long-term Financial Goals</t>
  </si>
  <si>
    <t>Carefully monitor spending so they don't run out of money</t>
  </si>
  <si>
    <t>Save Money for Retirement w/$50,000 Real Annual Income</t>
  </si>
  <si>
    <t>Human Capital Deployment</t>
  </si>
  <si>
    <t>Working Hard as an Architect</t>
  </si>
  <si>
    <t>Annual "Investable" Income</t>
  </si>
  <si>
    <t>Marginal Tax Rate on Interest Income &amp; Dividends</t>
  </si>
  <si>
    <t>Marginal Fed. Tax Rate on Capital Gains &amp; Qualified Div.</t>
  </si>
  <si>
    <t>Risk Capacity (7=Lowest; 21=Highest)</t>
  </si>
  <si>
    <t>Risk Attitude</t>
  </si>
  <si>
    <t>Asset Allocation</t>
  </si>
  <si>
    <t>Real Estate</t>
  </si>
  <si>
    <t>Mother Owns Home In Miami</t>
  </si>
  <si>
    <t>15%-25%</t>
  </si>
  <si>
    <t>20%-30%</t>
  </si>
  <si>
    <t>Obtain $75,000 to $100,000 Equity Line</t>
  </si>
  <si>
    <t>10%-20%</t>
  </si>
  <si>
    <t>15%-20%</t>
  </si>
  <si>
    <t>Cash/Checking/Money Market</t>
  </si>
  <si>
    <t>8% - 13%</t>
  </si>
  <si>
    <t>US Nominal Fixed Income</t>
  </si>
  <si>
    <t>5%-10%</t>
  </si>
  <si>
    <t>25%-30%</t>
  </si>
  <si>
    <t>30%-35%</t>
  </si>
  <si>
    <t>US Inflation-Protected Fixed Income</t>
  </si>
  <si>
    <t>20%-25%</t>
  </si>
  <si>
    <t>10%-15%</t>
  </si>
  <si>
    <t>US Equities</t>
  </si>
  <si>
    <t>30%-40%</t>
  </si>
  <si>
    <t>35%-45%</t>
  </si>
  <si>
    <t>Large-Cap</t>
  </si>
  <si>
    <t>Mid-Cap</t>
  </si>
  <si>
    <t>Small-Cap</t>
  </si>
  <si>
    <t>Other Developed Equity</t>
  </si>
  <si>
    <t>Emerging Market Equities</t>
  </si>
  <si>
    <t>Commodities</t>
  </si>
  <si>
    <t>Absolute Return Investments</t>
  </si>
  <si>
    <t>Collectables/Art</t>
  </si>
  <si>
    <t>Total</t>
  </si>
  <si>
    <t xml:space="preserve">*Recommended asset Allocations are based on the work of Swensen (2000, 2005), Campbell &amp; Viceira (2002) &amp; Gulley &amp; Witte (2006) </t>
  </si>
  <si>
    <t>#1: Low Income Single Mom</t>
  </si>
  <si>
    <t>Save Money to Open Center</t>
  </si>
  <si>
    <t>Start Saving for Retirment</t>
  </si>
  <si>
    <t>Security Guard &amp; Beautician</t>
  </si>
  <si>
    <t>Nurse's Aid</t>
  </si>
  <si>
    <t>Total Marginal Income Tax Rate</t>
  </si>
  <si>
    <t>Marginal Tax Rate on Wages/Salaries/Net Profit</t>
  </si>
  <si>
    <t>Marginal Tax Rate on Taxable Interest &amp; Non-Qualifying Dividends</t>
  </si>
  <si>
    <t>Marignal Federal Tax Rate Capital Gains &amp; Qualified Dividends</t>
  </si>
  <si>
    <t>State Sales Tax Rate (note what is excluded)</t>
  </si>
  <si>
    <t>City Sales Tax Rate</t>
  </si>
  <si>
    <t>Total Sales Tax Rate</t>
  </si>
  <si>
    <t>Marginal FICA Old Age</t>
  </si>
  <si>
    <t>Marginal FICA Medicare (HI)</t>
  </si>
  <si>
    <t>Property Tax Rate</t>
  </si>
  <si>
    <t>NA</t>
  </si>
  <si>
    <t>Other Tax Rates (e.g.,Personal Property, Autos, Intangible Property)</t>
  </si>
  <si>
    <t>Marginal Income Tax Rates by Income Type:</t>
  </si>
  <si>
    <t>Moderately Risk Averse</t>
  </si>
  <si>
    <t>Current Value of IRAs</t>
  </si>
  <si>
    <t xml:space="preserve">Total Market </t>
  </si>
  <si>
    <t>#2: Working Class Two-Parent Family</t>
  </si>
  <si>
    <t>Very Risk Averse</t>
  </si>
  <si>
    <t>#3: Middle Class Divorced Father</t>
  </si>
  <si>
    <t>#4: Upper Middle Class Single Woman</t>
  </si>
  <si>
    <t>Retire with Real Income of $50,000 per year</t>
  </si>
  <si>
    <t>Start Contributing to 401K</t>
  </si>
  <si>
    <t>#5:  Upper Class Two-Parent Family</t>
  </si>
  <si>
    <t>Save for Retirement/Pay off Mortgage</t>
  </si>
  <si>
    <t>Retired</t>
  </si>
  <si>
    <t>#7:  Retired Couple</t>
  </si>
  <si>
    <t>Risk Averse</t>
  </si>
  <si>
    <t>#8:  Recent Graduate Single Woman (Upper Middle Class)</t>
  </si>
  <si>
    <t>Recommended Asset Allocation</t>
  </si>
  <si>
    <t>PROTOTYPE:</t>
  </si>
  <si>
    <t>Annual IRA Contributions</t>
  </si>
  <si>
    <t>Annual 401k Contributions</t>
  </si>
  <si>
    <t>Petroleum Engineer</t>
  </si>
  <si>
    <t>Petroleum Engineer &amp; Elementary School Teacher</t>
  </si>
  <si>
    <t>Current Value of Retirement Plan</t>
  </si>
  <si>
    <t>Current Value of 401(k)</t>
  </si>
  <si>
    <t xml:space="preserve">  Self - Traditional IRA (Note Roth IRAs not deductible at time of contribution)</t>
  </si>
  <si>
    <t xml:space="preserve">  Roth IRA Contributions</t>
  </si>
  <si>
    <t>Current Equity in Home, if Owned</t>
  </si>
  <si>
    <t xml:space="preserve">Total Assets in Taxable Accounts </t>
  </si>
  <si>
    <t xml:space="preserve">Total Assets in Tax-Deferred Accounts </t>
  </si>
  <si>
    <t>Location:</t>
  </si>
  <si>
    <t>Current Equity in Home**</t>
  </si>
  <si>
    <t>**The first $500,000 of "profit" in selling your home is currently tax-free</t>
  </si>
  <si>
    <t>&lt;5%</t>
  </si>
  <si>
    <t>0%-5%</t>
  </si>
  <si>
    <t>100%</t>
  </si>
  <si>
    <t>100% of Investable Funds</t>
  </si>
  <si>
    <t xml:space="preserve">Taxable Long-term Fixed Income </t>
  </si>
  <si>
    <t>Short-Term Fixed Income</t>
  </si>
  <si>
    <t>Tax-Exempt Long-Term Fixed Income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</si>
</sst>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Red]&quot;$&quot;#,##0"/>
  </numFmts>
  <fonts count="25">
    <font>
      <sz val="10"/>
      <name val="Arial"/>
      <family val="0"/>
    </font>
    <font>
      <sz val="8"/>
      <name val="Arial"/>
      <family val="0"/>
    </font>
    <font>
      <b/>
      <sz val="10"/>
      <name val="Arial"/>
      <family val="2"/>
    </font>
    <font>
      <sz val="10"/>
      <name val="Tahoma"/>
      <family val="0"/>
    </font>
    <font>
      <b/>
      <sz val="10"/>
      <name val="Tahoma"/>
      <family val="0"/>
    </font>
    <font>
      <u val="single"/>
      <sz val="10"/>
      <color indexed="12"/>
      <name val="Arial"/>
      <family val="0"/>
    </font>
    <font>
      <u val="single"/>
      <sz val="10"/>
      <color indexed="36"/>
      <name val="Arial"/>
      <family val="0"/>
    </font>
    <font>
      <sz val="8"/>
      <name val="Tahoma"/>
      <family val="0"/>
    </font>
    <font>
      <b/>
      <sz val="8"/>
      <name val="Tahoma"/>
      <family val="0"/>
    </font>
    <font>
      <b/>
      <sz val="14"/>
      <name val="Arial"/>
      <family val="2"/>
    </font>
    <font>
      <b/>
      <sz val="12"/>
      <name val="Arial"/>
      <family val="2"/>
    </font>
    <font>
      <sz val="9"/>
      <name val="Arial"/>
      <family val="2"/>
    </font>
    <font>
      <sz val="10"/>
      <color indexed="8"/>
      <name val="Verdana"/>
      <family val="2"/>
    </font>
    <font>
      <b/>
      <u val="single"/>
      <sz val="10"/>
      <name val="Arial"/>
      <family val="2"/>
    </font>
    <font>
      <sz val="10"/>
      <color indexed="46"/>
      <name val="Arial"/>
      <family val="0"/>
    </font>
    <font>
      <sz val="12"/>
      <name val="Times New Roman"/>
      <family val="1"/>
    </font>
    <font>
      <b/>
      <sz val="12"/>
      <name val="Times New Roman"/>
      <family val="1"/>
    </font>
    <font>
      <b/>
      <sz val="14"/>
      <name val="Times New Roman"/>
      <family val="1"/>
    </font>
    <font>
      <sz val="10"/>
      <name val="Times New Roman"/>
      <family val="1"/>
    </font>
    <font>
      <sz val="12"/>
      <name val="Tahoma"/>
      <family val="0"/>
    </font>
    <font>
      <b/>
      <u val="single"/>
      <sz val="12"/>
      <name val="Tahoma"/>
      <family val="2"/>
    </font>
    <font>
      <b/>
      <sz val="12"/>
      <name val="Tahoma"/>
      <family val="2"/>
    </font>
    <font>
      <sz val="11"/>
      <name val="Tahoma"/>
      <family val="0"/>
    </font>
    <font>
      <i/>
      <sz val="10"/>
      <name val="Arial"/>
      <family val="2"/>
    </font>
    <font>
      <b/>
      <sz val="8"/>
      <name val="Arial"/>
      <family val="2"/>
    </font>
  </fonts>
  <fills count="11">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9" fillId="0" borderId="0">
      <alignment/>
      <protection/>
    </xf>
    <xf numFmtId="0" fontId="19" fillId="0" borderId="0">
      <alignment/>
      <protection/>
    </xf>
    <xf numFmtId="9" fontId="0" fillId="0" borderId="0" applyFont="0" applyFill="0" applyBorder="0" applyAlignment="0" applyProtection="0"/>
  </cellStyleXfs>
  <cellXfs count="228">
    <xf numFmtId="0" fontId="0" fillId="0" borderId="0" xfId="0" applyAlignment="1">
      <alignment/>
    </xf>
    <xf numFmtId="0" fontId="0" fillId="0" borderId="0" xfId="0" applyAlignment="1" quotePrefix="1">
      <alignment/>
    </xf>
    <xf numFmtId="0" fontId="0" fillId="0" borderId="0" xfId="0" applyAlignment="1">
      <alignment horizontal="left"/>
    </xf>
    <xf numFmtId="3" fontId="0" fillId="0" borderId="0" xfId="0" applyNumberFormat="1" applyAlignment="1">
      <alignment/>
    </xf>
    <xf numFmtId="3" fontId="0" fillId="0" borderId="0" xfId="0" applyNumberFormat="1" applyAlignment="1">
      <alignment horizontal="right"/>
    </xf>
    <xf numFmtId="164" fontId="0" fillId="0" borderId="0" xfId="0" applyNumberFormat="1" applyAlignment="1">
      <alignment/>
    </xf>
    <xf numFmtId="6" fontId="0" fillId="0" borderId="0" xfId="0" applyNumberFormat="1" applyAlignment="1">
      <alignment/>
    </xf>
    <xf numFmtId="0" fontId="0" fillId="0" borderId="0" xfId="0" applyAlignment="1">
      <alignment wrapText="1"/>
    </xf>
    <xf numFmtId="0" fontId="2" fillId="0" borderId="0" xfId="0" applyFont="1" applyAlignment="1">
      <alignment horizontal="righ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Alignment="1">
      <alignment horizontal="right"/>
    </xf>
    <xf numFmtId="165" fontId="0" fillId="0" borderId="0" xfId="0" applyNumberFormat="1" applyAlignment="1">
      <alignment/>
    </xf>
    <xf numFmtId="10" fontId="0" fillId="0" borderId="0" xfId="0" applyNumberFormat="1" applyAlignment="1">
      <alignment/>
    </xf>
    <xf numFmtId="8" fontId="0" fillId="0" borderId="0" xfId="0" applyNumberFormat="1" applyAlignment="1">
      <alignment/>
    </xf>
    <xf numFmtId="9" fontId="0" fillId="0" borderId="0" xfId="0" applyNumberFormat="1" applyAlignment="1">
      <alignment/>
    </xf>
    <xf numFmtId="0" fontId="2" fillId="0" borderId="0" xfId="0" applyFont="1" applyAlignment="1">
      <alignment horizontal="right" wrapText="1"/>
    </xf>
    <xf numFmtId="0" fontId="0" fillId="0" borderId="0" xfId="0" applyAlignment="1" quotePrefix="1">
      <alignment horizontal="left"/>
    </xf>
    <xf numFmtId="0" fontId="0" fillId="0" borderId="0" xfId="0" applyAlignment="1" quotePrefix="1">
      <alignment horizontal="left" wrapText="1"/>
    </xf>
    <xf numFmtId="172" fontId="0" fillId="0" borderId="0" xfId="15" applyNumberFormat="1" applyAlignment="1">
      <alignment/>
    </xf>
    <xf numFmtId="0" fontId="0" fillId="0" borderId="0" xfId="0" applyAlignment="1">
      <alignment horizontal="left" wrapText="1"/>
    </xf>
    <xf numFmtId="0" fontId="2" fillId="0" borderId="0" xfId="0" applyFont="1" applyAlignment="1">
      <alignment horizontal="left"/>
    </xf>
    <xf numFmtId="3" fontId="0" fillId="0" borderId="0" xfId="0" applyNumberFormat="1" applyAlignment="1" quotePrefix="1">
      <alignment horizontal="left" wrapText="1"/>
    </xf>
    <xf numFmtId="0" fontId="0" fillId="0" borderId="0" xfId="0" applyFont="1" applyAlignment="1">
      <alignment horizontal="left" wrapText="1"/>
    </xf>
    <xf numFmtId="0" fontId="0" fillId="0" borderId="0" xfId="0" applyAlignment="1" quotePrefix="1">
      <alignment horizontal="right" wrapText="1"/>
    </xf>
    <xf numFmtId="9" fontId="0" fillId="0" borderId="0" xfId="0" applyNumberFormat="1" applyAlignment="1" quotePrefix="1">
      <alignment horizontal="left" wrapText="1"/>
    </xf>
    <xf numFmtId="173" fontId="0" fillId="0" borderId="0" xfId="0" applyNumberFormat="1" applyAlignment="1">
      <alignment/>
    </xf>
    <xf numFmtId="3" fontId="0" fillId="0" borderId="0" xfId="0" applyNumberFormat="1" applyAlignment="1" quotePrefix="1">
      <alignment horizontal="left"/>
    </xf>
    <xf numFmtId="2" fontId="0" fillId="0" borderId="0" xfId="0" applyNumberFormat="1" applyAlignment="1">
      <alignment/>
    </xf>
    <xf numFmtId="164" fontId="0" fillId="0" borderId="0" xfId="0" applyNumberFormat="1" applyAlignment="1" quotePrefix="1">
      <alignment horizontal="left"/>
    </xf>
    <xf numFmtId="0" fontId="9" fillId="2" borderId="0" xfId="0" applyFont="1" applyFill="1" applyAlignment="1" quotePrefix="1">
      <alignment horizontal="left"/>
    </xf>
    <xf numFmtId="0" fontId="0" fillId="0" borderId="0" xfId="0" applyFont="1" applyAlignment="1">
      <alignment wrapText="1"/>
    </xf>
    <xf numFmtId="0" fontId="10" fillId="3" borderId="1" xfId="0" applyFont="1" applyFill="1" applyBorder="1" applyAlignment="1" quotePrefix="1">
      <alignment horizontal="left"/>
    </xf>
    <xf numFmtId="0" fontId="10" fillId="3" borderId="0" xfId="0" applyFont="1" applyFill="1" applyAlignment="1">
      <alignment/>
    </xf>
    <xf numFmtId="0" fontId="9" fillId="2" borderId="0" xfId="0" applyFont="1" applyFill="1" applyAlignment="1">
      <alignment horizontal="left"/>
    </xf>
    <xf numFmtId="14" fontId="0" fillId="0" borderId="0" xfId="0" applyNumberFormat="1" applyAlignment="1">
      <alignment/>
    </xf>
    <xf numFmtId="0" fontId="9" fillId="0" borderId="0" xfId="0" applyFont="1" applyFill="1" applyAlignment="1">
      <alignment horizontal="left"/>
    </xf>
    <xf numFmtId="0" fontId="0" fillId="2" borderId="0" xfId="0" applyFill="1" applyAlignment="1">
      <alignment/>
    </xf>
    <xf numFmtId="14" fontId="9" fillId="2" borderId="0" xfId="0" applyNumberFormat="1" applyFont="1" applyFill="1" applyAlignment="1">
      <alignment/>
    </xf>
    <xf numFmtId="0" fontId="10" fillId="3" borderId="0" xfId="0" applyFont="1" applyFill="1" applyAlignment="1" quotePrefix="1">
      <alignment horizontal="left"/>
    </xf>
    <xf numFmtId="0" fontId="10" fillId="3" borderId="0" xfId="0" applyFont="1" applyFill="1" applyAlignment="1" quotePrefix="1">
      <alignment horizontal="left" wrapText="1"/>
    </xf>
    <xf numFmtId="0" fontId="10" fillId="3" borderId="0" xfId="0" applyFont="1" applyFill="1" applyAlignment="1">
      <alignment wrapText="1"/>
    </xf>
    <xf numFmtId="164" fontId="0" fillId="0" borderId="0" xfId="0" applyNumberFormat="1" applyFont="1" applyAlignment="1">
      <alignment/>
    </xf>
    <xf numFmtId="164" fontId="11" fillId="0" borderId="0" xfId="0" applyNumberFormat="1" applyFont="1" applyAlignment="1">
      <alignment/>
    </xf>
    <xf numFmtId="0" fontId="12" fillId="0" borderId="0" xfId="0" applyFont="1" applyAlignment="1">
      <alignment wrapText="1"/>
    </xf>
    <xf numFmtId="3" fontId="0" fillId="0" borderId="0" xfId="0" applyNumberFormat="1" applyFont="1" applyAlignment="1">
      <alignment/>
    </xf>
    <xf numFmtId="164" fontId="13" fillId="0" borderId="0" xfId="0" applyNumberFormat="1" applyFont="1" applyFill="1" applyAlignment="1">
      <alignment/>
    </xf>
    <xf numFmtId="6" fontId="0" fillId="0" borderId="0" xfId="0" applyNumberFormat="1" applyFont="1" applyAlignment="1">
      <alignment/>
    </xf>
    <xf numFmtId="164" fontId="0" fillId="0" borderId="0" xfId="0" applyNumberFormat="1" applyFont="1" applyAlignment="1">
      <alignment/>
    </xf>
    <xf numFmtId="3" fontId="0" fillId="0" borderId="0" xfId="0" applyNumberFormat="1" applyFill="1" applyAlignment="1">
      <alignment/>
    </xf>
    <xf numFmtId="164" fontId="0" fillId="0" borderId="0" xfId="0" applyNumberFormat="1" applyFill="1" applyAlignment="1">
      <alignment/>
    </xf>
    <xf numFmtId="6" fontId="0" fillId="0" borderId="0" xfId="0" applyNumberFormat="1" applyFill="1" applyAlignment="1">
      <alignment/>
    </xf>
    <xf numFmtId="0" fontId="14" fillId="0" borderId="0" xfId="0" applyFont="1" applyFill="1" applyAlignment="1">
      <alignment/>
    </xf>
    <xf numFmtId="0" fontId="9" fillId="0" borderId="0" xfId="0" applyFont="1" applyAlignment="1">
      <alignment/>
    </xf>
    <xf numFmtId="0" fontId="15" fillId="0" borderId="0" xfId="0" applyFont="1" applyAlignment="1">
      <alignment/>
    </xf>
    <xf numFmtId="0" fontId="16" fillId="0" borderId="0" xfId="0" applyFont="1" applyAlignment="1">
      <alignment/>
    </xf>
    <xf numFmtId="0" fontId="17" fillId="4" borderId="0" xfId="0" applyFont="1" applyFill="1" applyAlignment="1">
      <alignment/>
    </xf>
    <xf numFmtId="0" fontId="18" fillId="4" borderId="0" xfId="0" applyFont="1" applyFill="1" applyAlignment="1">
      <alignment/>
    </xf>
    <xf numFmtId="0" fontId="18" fillId="0" borderId="0" xfId="0" applyFont="1" applyAlignment="1">
      <alignment/>
    </xf>
    <xf numFmtId="0" fontId="17" fillId="5" borderId="0" xfId="0" applyFont="1" applyFill="1" applyAlignment="1">
      <alignment/>
    </xf>
    <xf numFmtId="0" fontId="18" fillId="5" borderId="0" xfId="0" applyFont="1" applyFill="1" applyAlignment="1">
      <alignment/>
    </xf>
    <xf numFmtId="0" fontId="17" fillId="6" borderId="0" xfId="0" applyFont="1" applyFill="1" applyAlignment="1">
      <alignment/>
    </xf>
    <xf numFmtId="0" fontId="0" fillId="6" borderId="0" xfId="0" applyFill="1" applyAlignment="1">
      <alignment/>
    </xf>
    <xf numFmtId="0" fontId="15" fillId="4" borderId="0" xfId="0" applyFont="1" applyFill="1" applyAlignment="1">
      <alignment/>
    </xf>
    <xf numFmtId="0" fontId="15" fillId="5" borderId="0" xfId="0" applyFont="1" applyFill="1" applyAlignment="1">
      <alignment/>
    </xf>
    <xf numFmtId="0" fontId="0" fillId="6" borderId="0" xfId="0" applyFill="1" applyAlignment="1">
      <alignment horizontal="left" vertical="top" wrapText="1"/>
    </xf>
    <xf numFmtId="6" fontId="0" fillId="6" borderId="0" xfId="0" applyNumberFormat="1" applyFill="1" applyAlignment="1">
      <alignment horizontal="left" vertical="top" wrapText="1"/>
    </xf>
    <xf numFmtId="0" fontId="0" fillId="6" borderId="0" xfId="0" applyFill="1" applyAlignment="1">
      <alignment horizontal="left" wrapText="1"/>
    </xf>
    <xf numFmtId="0" fontId="0" fillId="6" borderId="0" xfId="0" applyFill="1" applyAlignment="1">
      <alignment horizontal="left"/>
    </xf>
    <xf numFmtId="0" fontId="15" fillId="4" borderId="0" xfId="0" applyFont="1" applyFill="1" applyBorder="1" applyAlignment="1">
      <alignment/>
    </xf>
    <xf numFmtId="6" fontId="15" fillId="4" borderId="0" xfId="0" applyNumberFormat="1" applyFont="1" applyFill="1" applyBorder="1" applyAlignment="1">
      <alignment/>
    </xf>
    <xf numFmtId="6" fontId="15" fillId="5" borderId="0" xfId="0" applyNumberFormat="1" applyFont="1" applyFill="1" applyAlignment="1">
      <alignment/>
    </xf>
    <xf numFmtId="10" fontId="15" fillId="4" borderId="0" xfId="0" applyNumberFormat="1" applyFont="1" applyFill="1" applyBorder="1" applyAlignment="1">
      <alignment/>
    </xf>
    <xf numFmtId="10" fontId="15" fillId="5" borderId="0" xfId="0" applyNumberFormat="1" applyFont="1" applyFill="1" applyAlignment="1">
      <alignment/>
    </xf>
    <xf numFmtId="0" fontId="15" fillId="4" borderId="0" xfId="0" applyFont="1" applyFill="1" applyBorder="1" applyAlignment="1">
      <alignment horizontal="right"/>
    </xf>
    <xf numFmtId="0" fontId="15" fillId="5" borderId="0" xfId="0" applyFont="1" applyFill="1" applyAlignment="1">
      <alignment horizontal="right"/>
    </xf>
    <xf numFmtId="6" fontId="0" fillId="6" borderId="0" xfId="0" applyNumberFormat="1" applyFill="1" applyAlignment="1">
      <alignment horizontal="left" wrapText="1"/>
    </xf>
    <xf numFmtId="8" fontId="15" fillId="4" borderId="0" xfId="0" applyNumberFormat="1" applyFont="1" applyFill="1" applyBorder="1" applyAlignment="1">
      <alignment/>
    </xf>
    <xf numFmtId="8" fontId="15" fillId="5" borderId="0" xfId="0" applyNumberFormat="1" applyFont="1" applyFill="1" applyAlignment="1">
      <alignment/>
    </xf>
    <xf numFmtId="8" fontId="16" fillId="4" borderId="0" xfId="0" applyNumberFormat="1" applyFont="1" applyFill="1" applyBorder="1" applyAlignment="1">
      <alignment/>
    </xf>
    <xf numFmtId="8" fontId="16" fillId="5" borderId="0" xfId="0" applyNumberFormat="1" applyFont="1" applyFill="1" applyAlignment="1">
      <alignment/>
    </xf>
    <xf numFmtId="8" fontId="15" fillId="0" borderId="0" xfId="0" applyNumberFormat="1" applyFont="1" applyAlignment="1">
      <alignment/>
    </xf>
    <xf numFmtId="8" fontId="18" fillId="0" borderId="0" xfId="0" applyNumberFormat="1" applyFont="1" applyAlignment="1">
      <alignment/>
    </xf>
    <xf numFmtId="0" fontId="15" fillId="0" borderId="0" xfId="0" applyFont="1" applyFill="1" applyBorder="1" applyAlignment="1">
      <alignment/>
    </xf>
    <xf numFmtId="0" fontId="0" fillId="0" borderId="0" xfId="20" applyFont="1" applyAlignment="1">
      <alignment/>
    </xf>
    <xf numFmtId="0" fontId="9" fillId="3" borderId="0" xfId="0" applyFont="1" applyFill="1" applyAlignment="1" quotePrefix="1">
      <alignment horizontal="left"/>
    </xf>
    <xf numFmtId="0" fontId="0" fillId="3" borderId="0" xfId="0" applyFill="1" applyAlignment="1">
      <alignment/>
    </xf>
    <xf numFmtId="38" fontId="0" fillId="0" borderId="0" xfId="0" applyNumberFormat="1" applyAlignment="1">
      <alignment/>
    </xf>
    <xf numFmtId="0" fontId="0" fillId="0" borderId="0" xfId="0" applyAlignment="1" quotePrefix="1">
      <alignment horizontal="right"/>
    </xf>
    <xf numFmtId="0" fontId="9" fillId="3" borderId="0" xfId="0" applyFont="1" applyFill="1" applyAlignment="1">
      <alignment horizontal="left"/>
    </xf>
    <xf numFmtId="0" fontId="0" fillId="3" borderId="0" xfId="0" applyFill="1" applyAlignment="1" quotePrefix="1">
      <alignment horizontal="left"/>
    </xf>
    <xf numFmtId="0" fontId="0" fillId="0" borderId="0" xfId="0" applyFill="1" applyAlignment="1">
      <alignment/>
    </xf>
    <xf numFmtId="0" fontId="0" fillId="7" borderId="0" xfId="0" applyFill="1" applyAlignment="1">
      <alignment horizontal="left"/>
    </xf>
    <xf numFmtId="0" fontId="0" fillId="7" borderId="0" xfId="0" applyFill="1" applyAlignment="1" quotePrefix="1">
      <alignment horizontal="left"/>
    </xf>
    <xf numFmtId="0" fontId="0" fillId="7" borderId="0" xfId="0" applyFill="1" applyAlignment="1">
      <alignment/>
    </xf>
    <xf numFmtId="0" fontId="2" fillId="7" borderId="0" xfId="0" applyFont="1" applyFill="1" applyAlignment="1">
      <alignment horizontal="left"/>
    </xf>
    <xf numFmtId="0" fontId="2" fillId="7" borderId="0" xfId="0" applyFont="1" applyFill="1" applyAlignment="1" quotePrefix="1">
      <alignment horizontal="left"/>
    </xf>
    <xf numFmtId="0" fontId="2" fillId="0" borderId="0" xfId="0" applyFont="1" applyAlignment="1">
      <alignment/>
    </xf>
    <xf numFmtId="0" fontId="2" fillId="7" borderId="0" xfId="0" applyFont="1" applyFill="1" applyAlignment="1">
      <alignment/>
    </xf>
    <xf numFmtId="9" fontId="0" fillId="0" borderId="0" xfId="0" applyNumberFormat="1" applyAlignment="1">
      <alignment wrapText="1"/>
    </xf>
    <xf numFmtId="8" fontId="0" fillId="0" borderId="0" xfId="0" applyNumberFormat="1" applyAlignment="1">
      <alignment wrapText="1"/>
    </xf>
    <xf numFmtId="37" fontId="0" fillId="0" borderId="0" xfId="0" applyNumberFormat="1" applyAlignment="1">
      <alignment/>
    </xf>
    <xf numFmtId="1" fontId="0" fillId="0" borderId="0" xfId="0" applyNumberFormat="1" applyAlignment="1">
      <alignment/>
    </xf>
    <xf numFmtId="0" fontId="0" fillId="0" borderId="1" xfId="0" applyBorder="1" applyAlignment="1" quotePrefix="1">
      <alignment horizontal="left" wrapText="1"/>
    </xf>
    <xf numFmtId="0" fontId="0" fillId="0" borderId="1" xfId="0" applyBorder="1" applyAlignment="1">
      <alignment wrapText="1"/>
    </xf>
    <xf numFmtId="173" fontId="0" fillId="7" borderId="0" xfId="0" applyNumberFormat="1" applyFill="1" applyAlignment="1">
      <alignment/>
    </xf>
    <xf numFmtId="6" fontId="0" fillId="7" borderId="0" xfId="0" applyNumberFormat="1" applyFill="1" applyAlignment="1">
      <alignment/>
    </xf>
    <xf numFmtId="0" fontId="0" fillId="8" borderId="0" xfId="0" applyFill="1" applyAlignment="1">
      <alignment wrapText="1"/>
    </xf>
    <xf numFmtId="164" fontId="0" fillId="8" borderId="0" xfId="0" applyNumberFormat="1" applyFill="1" applyAlignment="1">
      <alignment/>
    </xf>
    <xf numFmtId="37" fontId="0" fillId="8" borderId="0" xfId="0" applyNumberFormat="1" applyFill="1" applyAlignment="1">
      <alignment/>
    </xf>
    <xf numFmtId="37" fontId="0" fillId="8" borderId="1" xfId="0" applyNumberFormat="1" applyFill="1" applyBorder="1" applyAlignment="1">
      <alignment/>
    </xf>
    <xf numFmtId="0" fontId="0" fillId="8" borderId="0" xfId="0" applyFill="1" applyAlignment="1" quotePrefix="1">
      <alignment horizontal="right" wrapText="1"/>
    </xf>
    <xf numFmtId="5" fontId="0" fillId="8" borderId="0" xfId="0" applyNumberFormat="1" applyFill="1" applyAlignment="1">
      <alignment/>
    </xf>
    <xf numFmtId="0" fontId="0" fillId="8" borderId="0" xfId="0" applyFill="1" applyAlignment="1" quotePrefix="1">
      <alignment horizontal="left" vertical="top" wrapText="1"/>
    </xf>
    <xf numFmtId="0" fontId="2" fillId="8" borderId="0" xfId="0" applyFont="1" applyFill="1" applyAlignment="1">
      <alignment wrapText="1"/>
    </xf>
    <xf numFmtId="0" fontId="2" fillId="8" borderId="0" xfId="0" applyFont="1" applyFill="1" applyAlignment="1" quotePrefix="1">
      <alignment horizontal="left" vertical="top"/>
    </xf>
    <xf numFmtId="0" fontId="2" fillId="7" borderId="0" xfId="0" applyFont="1" applyFill="1" applyAlignment="1" quotePrefix="1">
      <alignment horizontal="left" wrapText="1"/>
    </xf>
    <xf numFmtId="0" fontId="2" fillId="7" borderId="0" xfId="0" applyFont="1" applyFill="1" applyAlignment="1">
      <alignment wrapText="1"/>
    </xf>
    <xf numFmtId="0" fontId="19" fillId="0" borderId="0" xfId="22" applyAlignment="1">
      <alignment horizontal="center"/>
      <protection/>
    </xf>
    <xf numFmtId="0" fontId="19" fillId="0" borderId="0" xfId="22">
      <alignment/>
      <protection/>
    </xf>
    <xf numFmtId="0" fontId="19" fillId="0" borderId="0" xfId="22" applyAlignment="1" quotePrefix="1">
      <alignment horizontal="left" wrapText="1"/>
      <protection/>
    </xf>
    <xf numFmtId="0" fontId="20" fillId="3" borderId="0" xfId="22" applyFont="1" applyFill="1" applyAlignment="1" quotePrefix="1">
      <alignment horizontal="center"/>
      <protection/>
    </xf>
    <xf numFmtId="6" fontId="19" fillId="0" borderId="0" xfId="22" applyNumberFormat="1" applyAlignment="1">
      <alignment horizontal="center"/>
      <protection/>
    </xf>
    <xf numFmtId="6" fontId="19" fillId="0" borderId="0" xfId="22" applyNumberFormat="1" applyAlignment="1" quotePrefix="1">
      <alignment horizontal="center"/>
      <protection/>
    </xf>
    <xf numFmtId="6" fontId="19" fillId="0" borderId="0" xfId="22" applyNumberFormat="1">
      <alignment/>
      <protection/>
    </xf>
    <xf numFmtId="0" fontId="19" fillId="0" borderId="0" xfId="22" applyAlignment="1" quotePrefix="1">
      <alignment horizontal="center"/>
      <protection/>
    </xf>
    <xf numFmtId="9" fontId="19" fillId="0" borderId="0" xfId="22" applyNumberFormat="1" applyAlignment="1">
      <alignment horizontal="center"/>
      <protection/>
    </xf>
    <xf numFmtId="9" fontId="19" fillId="0" borderId="0" xfId="22" applyNumberFormat="1">
      <alignment/>
      <protection/>
    </xf>
    <xf numFmtId="0" fontId="20" fillId="3" borderId="0" xfId="22" applyFont="1" applyFill="1" applyAlignment="1">
      <alignment horizontal="center"/>
      <protection/>
    </xf>
    <xf numFmtId="0" fontId="21" fillId="0" borderId="0" xfId="22" applyFont="1" applyAlignment="1">
      <alignment horizontal="center"/>
      <protection/>
    </xf>
    <xf numFmtId="6" fontId="19" fillId="0" borderId="0" xfId="21" applyNumberFormat="1" applyAlignment="1">
      <alignment horizontal="center"/>
      <protection/>
    </xf>
    <xf numFmtId="6" fontId="19" fillId="0" borderId="0" xfId="21" applyNumberFormat="1" applyAlignment="1" quotePrefix="1">
      <alignment horizontal="center"/>
      <protection/>
    </xf>
    <xf numFmtId="0" fontId="19" fillId="0" borderId="0" xfId="22" applyFont="1" applyAlignment="1">
      <alignment horizontal="right"/>
      <protection/>
    </xf>
    <xf numFmtId="6" fontId="19" fillId="0" borderId="0" xfId="22" applyNumberFormat="1" applyAlignment="1">
      <alignment horizontal="right"/>
      <protection/>
    </xf>
    <xf numFmtId="6" fontId="19" fillId="0" borderId="0" xfId="22" applyNumberFormat="1" applyAlignment="1" quotePrefix="1">
      <alignment horizontal="right"/>
      <protection/>
    </xf>
    <xf numFmtId="0" fontId="19" fillId="0" borderId="0" xfId="22" applyAlignment="1" quotePrefix="1">
      <alignment horizontal="left"/>
      <protection/>
    </xf>
    <xf numFmtId="6" fontId="19" fillId="0" borderId="0" xfId="22" applyNumberFormat="1" applyAlignment="1">
      <alignment horizontal="left"/>
      <protection/>
    </xf>
    <xf numFmtId="0" fontId="19" fillId="0" borderId="0" xfId="22" applyAlignment="1">
      <alignment horizontal="right"/>
      <protection/>
    </xf>
    <xf numFmtId="0" fontId="20" fillId="0" borderId="0" xfId="22" applyFont="1" applyAlignment="1">
      <alignment horizontal="right"/>
      <protection/>
    </xf>
    <xf numFmtId="164" fontId="19" fillId="0" borderId="0" xfId="22" applyNumberFormat="1">
      <alignment/>
      <protection/>
    </xf>
    <xf numFmtId="0" fontId="19" fillId="0" borderId="0" xfId="22" applyAlignment="1">
      <alignment/>
      <protection/>
    </xf>
    <xf numFmtId="8" fontId="19" fillId="0" borderId="0" xfId="22" applyNumberFormat="1">
      <alignment/>
      <protection/>
    </xf>
    <xf numFmtId="0" fontId="19" fillId="9" borderId="2" xfId="22" applyFill="1" applyBorder="1" applyAlignment="1">
      <alignment horizontal="center"/>
      <protection/>
    </xf>
    <xf numFmtId="6" fontId="19" fillId="9" borderId="2" xfId="22" applyNumberFormat="1" applyFill="1" applyBorder="1" applyAlignment="1">
      <alignment horizontal="center"/>
      <protection/>
    </xf>
    <xf numFmtId="9" fontId="19" fillId="9" borderId="2" xfId="22" applyNumberFormat="1" applyFill="1" applyBorder="1" applyAlignment="1">
      <alignment horizontal="center"/>
      <protection/>
    </xf>
    <xf numFmtId="9" fontId="19" fillId="9" borderId="2" xfId="22" applyNumberFormat="1" applyFill="1" applyBorder="1">
      <alignment/>
      <protection/>
    </xf>
    <xf numFmtId="6" fontId="19" fillId="9" borderId="2" xfId="22" applyNumberFormat="1" applyFill="1" applyBorder="1">
      <alignment/>
      <protection/>
    </xf>
    <xf numFmtId="0" fontId="19" fillId="9" borderId="2" xfId="22" applyFill="1" applyBorder="1">
      <alignment/>
      <protection/>
    </xf>
    <xf numFmtId="6" fontId="19" fillId="9" borderId="2" xfId="22" applyNumberFormat="1" applyFill="1" applyBorder="1" applyAlignment="1">
      <alignment horizontal="left"/>
      <protection/>
    </xf>
    <xf numFmtId="0" fontId="19" fillId="5" borderId="2" xfId="22" applyFill="1" applyBorder="1" applyAlignment="1">
      <alignment horizontal="center"/>
      <protection/>
    </xf>
    <xf numFmtId="6" fontId="19" fillId="5" borderId="2" xfId="22" applyNumberFormat="1" applyFill="1" applyBorder="1" applyAlignment="1">
      <alignment horizontal="center"/>
      <protection/>
    </xf>
    <xf numFmtId="9" fontId="19" fillId="5" borderId="2" xfId="22" applyNumberFormat="1" applyFill="1" applyBorder="1" applyAlignment="1">
      <alignment horizontal="center"/>
      <protection/>
    </xf>
    <xf numFmtId="9" fontId="19" fillId="5" borderId="2" xfId="22" applyNumberFormat="1" applyFill="1" applyBorder="1">
      <alignment/>
      <protection/>
    </xf>
    <xf numFmtId="6" fontId="19" fillId="5" borderId="2" xfId="22" applyNumberFormat="1" applyFill="1" applyBorder="1">
      <alignment/>
      <protection/>
    </xf>
    <xf numFmtId="0" fontId="19" fillId="5" borderId="2" xfId="22" applyFill="1" applyBorder="1">
      <alignment/>
      <protection/>
    </xf>
    <xf numFmtId="6" fontId="19" fillId="5" borderId="2" xfId="22" applyNumberFormat="1" applyFill="1" applyBorder="1" applyAlignment="1">
      <alignment horizontal="left"/>
      <protection/>
    </xf>
    <xf numFmtId="9" fontId="19" fillId="5" borderId="3" xfId="22" applyNumberFormat="1" applyFill="1" applyBorder="1">
      <alignment/>
      <protection/>
    </xf>
    <xf numFmtId="0" fontId="22" fillId="0" borderId="0" xfId="0" applyFont="1" applyAlignment="1">
      <alignment horizontal="left" wrapText="1"/>
    </xf>
    <xf numFmtId="0" fontId="22" fillId="0" borderId="0" xfId="22" applyFont="1" applyAlignment="1">
      <alignment horizontal="center" wrapText="1"/>
      <protection/>
    </xf>
    <xf numFmtId="0" fontId="22" fillId="0" borderId="0" xfId="0" applyFont="1" applyBorder="1" applyAlignment="1" quotePrefix="1">
      <alignment horizontal="left" wrapText="1"/>
    </xf>
    <xf numFmtId="0" fontId="19" fillId="0" borderId="0" xfId="22" applyFont="1" applyAlignment="1">
      <alignment horizontal="center"/>
      <protection/>
    </xf>
    <xf numFmtId="0" fontId="19" fillId="0" borderId="0" xfId="22" applyFont="1" applyAlignment="1">
      <alignment horizontal="center" wrapText="1"/>
      <protection/>
    </xf>
    <xf numFmtId="9" fontId="0" fillId="0" borderId="0" xfId="0" applyNumberFormat="1" applyAlignment="1">
      <alignment horizontal="right"/>
    </xf>
    <xf numFmtId="173" fontId="0" fillId="0" borderId="0" xfId="0" applyNumberFormat="1" applyAlignment="1">
      <alignment horizontal="right"/>
    </xf>
    <xf numFmtId="0" fontId="2" fillId="3" borderId="0" xfId="0" applyFont="1" applyFill="1" applyAlignment="1" quotePrefix="1">
      <alignment horizontal="left"/>
    </xf>
    <xf numFmtId="0" fontId="23" fillId="0" borderId="0" xfId="0" applyFont="1" applyAlignment="1">
      <alignment horizontal="right"/>
    </xf>
    <xf numFmtId="0" fontId="23" fillId="0" borderId="0" xfId="0" applyFont="1" applyAlignment="1">
      <alignment horizontal="right" wrapText="1"/>
    </xf>
    <xf numFmtId="0" fontId="2" fillId="0" borderId="0" xfId="0" applyFont="1" applyFill="1" applyAlignment="1" quotePrefix="1">
      <alignment horizontal="right"/>
    </xf>
    <xf numFmtId="9" fontId="0" fillId="0" borderId="0" xfId="0" applyNumberFormat="1" applyFill="1" applyAlignment="1">
      <alignment/>
    </xf>
    <xf numFmtId="1" fontId="19" fillId="0" borderId="0" xfId="22" applyNumberFormat="1" applyAlignment="1">
      <alignment horizontal="center"/>
      <protection/>
    </xf>
    <xf numFmtId="0" fontId="22" fillId="0" borderId="0" xfId="0" applyFont="1" applyAlignment="1">
      <alignment wrapText="1"/>
    </xf>
    <xf numFmtId="3" fontId="0" fillId="0" borderId="0" xfId="0" applyNumberFormat="1" applyAlignment="1" quotePrefix="1">
      <alignment horizontal="right"/>
    </xf>
    <xf numFmtId="0" fontId="19" fillId="0" borderId="0" xfId="22" applyFont="1" applyAlignment="1" quotePrefix="1">
      <alignment horizontal="right"/>
      <protection/>
    </xf>
    <xf numFmtId="0" fontId="22" fillId="0" borderId="0" xfId="0" applyFont="1" applyAlignment="1" quotePrefix="1">
      <alignment horizontal="left" wrapText="1"/>
    </xf>
    <xf numFmtId="0" fontId="22" fillId="0" borderId="0" xfId="0" applyFont="1" applyBorder="1" applyAlignment="1">
      <alignment wrapText="1"/>
    </xf>
    <xf numFmtId="0" fontId="22" fillId="0" borderId="0" xfId="22" applyFont="1" applyBorder="1" applyAlignment="1">
      <alignment wrapText="1"/>
      <protection/>
    </xf>
    <xf numFmtId="0" fontId="22" fillId="0" borderId="0" xfId="22" applyFont="1" applyBorder="1" applyAlignment="1" quotePrefix="1">
      <alignment horizontal="left" wrapText="1"/>
      <protection/>
    </xf>
    <xf numFmtId="0" fontId="22" fillId="0" borderId="0" xfId="22" applyFont="1" applyAlignment="1">
      <alignment wrapText="1"/>
      <protection/>
    </xf>
    <xf numFmtId="0" fontId="19" fillId="5" borderId="4" xfId="22" applyFill="1" applyBorder="1" applyAlignment="1">
      <alignment wrapText="1"/>
      <protection/>
    </xf>
    <xf numFmtId="0" fontId="19" fillId="5" borderId="3" xfId="22" applyFill="1" applyBorder="1">
      <alignment/>
      <protection/>
    </xf>
    <xf numFmtId="0" fontId="19" fillId="9" borderId="4" xfId="22" applyFill="1" applyBorder="1" applyAlignment="1">
      <alignment wrapText="1"/>
      <protection/>
    </xf>
    <xf numFmtId="0" fontId="21" fillId="10" borderId="0" xfId="22" applyFont="1" applyFill="1" applyAlignment="1" quotePrefix="1">
      <alignment horizontal="left"/>
      <protection/>
    </xf>
    <xf numFmtId="0" fontId="19" fillId="9" borderId="3" xfId="22" applyFill="1" applyBorder="1">
      <alignment/>
      <protection/>
    </xf>
    <xf numFmtId="0" fontId="19" fillId="0" borderId="0" xfId="22" applyFont="1" applyAlignment="1" quotePrefix="1">
      <alignment horizontal="center"/>
      <protection/>
    </xf>
    <xf numFmtId="6" fontId="19" fillId="5" borderId="3" xfId="22" applyNumberFormat="1" applyFill="1" applyBorder="1">
      <alignment/>
      <protection/>
    </xf>
    <xf numFmtId="9" fontId="19" fillId="9" borderId="2" xfId="22" applyNumberFormat="1" applyFont="1" applyFill="1" applyBorder="1" applyAlignment="1" quotePrefix="1">
      <alignment horizontal="right"/>
      <protection/>
    </xf>
    <xf numFmtId="6" fontId="19" fillId="9" borderId="3" xfId="22" applyNumberFormat="1" applyFill="1" applyBorder="1">
      <alignment/>
      <protection/>
    </xf>
    <xf numFmtId="9" fontId="19" fillId="5" borderId="2" xfId="22" applyNumberFormat="1" applyFill="1" applyBorder="1" applyAlignment="1">
      <alignment horizontal="right"/>
      <protection/>
    </xf>
    <xf numFmtId="9" fontId="19" fillId="5" borderId="3" xfId="22" applyNumberFormat="1" applyFill="1" applyBorder="1" applyAlignment="1">
      <alignment horizontal="right"/>
      <protection/>
    </xf>
    <xf numFmtId="6" fontId="19" fillId="9" borderId="2" xfId="22" applyNumberFormat="1" applyFont="1" applyFill="1" applyBorder="1" applyAlignment="1">
      <alignment horizontal="center" wrapText="1"/>
      <protection/>
    </xf>
    <xf numFmtId="174" fontId="19" fillId="0" borderId="0" xfId="22" applyNumberFormat="1" applyAlignment="1">
      <alignment horizontal="center"/>
      <protection/>
    </xf>
    <xf numFmtId="0" fontId="21" fillId="0" borderId="0" xfId="22" applyFont="1" applyAlignment="1" quotePrefix="1">
      <alignment horizontal="right" wrapText="1"/>
      <protection/>
    </xf>
    <xf numFmtId="174" fontId="22" fillId="0" borderId="0" xfId="22" applyNumberFormat="1" applyFont="1" applyAlignment="1">
      <alignment horizontal="center" wrapText="1"/>
      <protection/>
    </xf>
    <xf numFmtId="164" fontId="19" fillId="0" borderId="0" xfId="22" applyNumberFormat="1" applyFont="1" applyAlignment="1">
      <alignment horizontal="center" wrapText="1"/>
      <protection/>
    </xf>
    <xf numFmtId="164" fontId="22" fillId="0" borderId="0" xfId="0" applyNumberFormat="1" applyFont="1" applyAlignment="1">
      <alignment horizontal="center" wrapText="1"/>
    </xf>
    <xf numFmtId="0" fontId="20" fillId="0" borderId="0" xfId="22" applyFont="1" applyAlignment="1" quotePrefix="1">
      <alignment horizontal="left"/>
      <protection/>
    </xf>
    <xf numFmtId="0" fontId="19" fillId="5" borderId="2" xfId="22" applyFill="1" applyBorder="1" applyAlignment="1" quotePrefix="1">
      <alignment horizontal="left"/>
      <protection/>
    </xf>
    <xf numFmtId="6" fontId="19" fillId="5" borderId="2" xfId="22" applyNumberFormat="1" applyFill="1" applyBorder="1" applyAlignment="1" quotePrefix="1">
      <alignment horizontal="right"/>
      <protection/>
    </xf>
    <xf numFmtId="0" fontId="19" fillId="5" borderId="2" xfId="22" applyFill="1" applyBorder="1" applyAlignment="1">
      <alignment horizontal="right"/>
      <protection/>
    </xf>
    <xf numFmtId="9" fontId="19" fillId="9" borderId="2" xfId="22" applyNumberFormat="1" applyFill="1" applyBorder="1" applyAlignment="1" quotePrefix="1">
      <alignment horizontal="center"/>
      <protection/>
    </xf>
    <xf numFmtId="0" fontId="19" fillId="9" borderId="2" xfId="22" applyFill="1" applyBorder="1" applyAlignment="1" quotePrefix="1">
      <alignment horizontal="left"/>
      <protection/>
    </xf>
    <xf numFmtId="9" fontId="19" fillId="9" borderId="2" xfId="22" applyNumberFormat="1" applyFill="1" applyBorder="1" applyAlignment="1" quotePrefix="1">
      <alignment horizontal="right"/>
      <protection/>
    </xf>
    <xf numFmtId="0" fontId="19" fillId="9" borderId="2" xfId="22" applyFill="1" applyBorder="1" applyAlignment="1">
      <alignment horizontal="right"/>
      <protection/>
    </xf>
    <xf numFmtId="6" fontId="19" fillId="9" borderId="2" xfId="22" applyNumberFormat="1" applyFill="1" applyBorder="1" applyAlignment="1" quotePrefix="1">
      <alignment horizontal="center" wrapText="1"/>
      <protection/>
    </xf>
    <xf numFmtId="3" fontId="22" fillId="0" borderId="0" xfId="22" applyNumberFormat="1" applyFont="1" applyBorder="1" applyAlignment="1">
      <alignment horizontal="center" wrapText="1"/>
      <protection/>
    </xf>
    <xf numFmtId="0" fontId="19" fillId="5" borderId="2" xfId="22" applyFont="1" applyFill="1" applyBorder="1">
      <alignment/>
      <protection/>
    </xf>
    <xf numFmtId="9" fontId="19" fillId="5" borderId="2" xfId="22" applyNumberFormat="1" applyFont="1" applyFill="1" applyBorder="1" applyAlignment="1">
      <alignment horizontal="center"/>
      <protection/>
    </xf>
    <xf numFmtId="0" fontId="19" fillId="9" borderId="2" xfId="22" applyFont="1" applyFill="1" applyBorder="1" applyAlignment="1">
      <alignment horizontal="center"/>
      <protection/>
    </xf>
    <xf numFmtId="3" fontId="22" fillId="0" borderId="0" xfId="22" applyNumberFormat="1" applyFont="1" applyAlignment="1">
      <alignment wrapText="1"/>
      <protection/>
    </xf>
    <xf numFmtId="6" fontId="19" fillId="0" borderId="0" xfId="22" applyNumberFormat="1" applyFont="1">
      <alignment/>
      <protection/>
    </xf>
    <xf numFmtId="0" fontId="19" fillId="9" borderId="2" xfId="22" applyFont="1" applyFill="1" applyBorder="1">
      <alignment/>
      <protection/>
    </xf>
    <xf numFmtId="0" fontId="19" fillId="9" borderId="2" xfId="22" applyFont="1" applyFill="1" applyBorder="1" applyAlignment="1" quotePrefix="1">
      <alignment horizontal="right"/>
      <protection/>
    </xf>
    <xf numFmtId="0" fontId="19" fillId="9" borderId="4" xfId="22" applyFont="1" applyFill="1" applyBorder="1" applyAlignment="1" quotePrefix="1">
      <alignment horizontal="left" wrapText="1"/>
      <protection/>
    </xf>
    <xf numFmtId="0" fontId="19" fillId="9" borderId="2" xfId="22" applyFont="1" applyFill="1" applyBorder="1" applyAlignment="1">
      <alignment wrapText="1"/>
      <protection/>
    </xf>
    <xf numFmtId="0" fontId="19" fillId="9" borderId="4" xfId="22" applyFill="1" applyBorder="1" applyAlignment="1" quotePrefix="1">
      <alignment horizontal="left" wrapText="1"/>
      <protection/>
    </xf>
    <xf numFmtId="9" fontId="19" fillId="9" borderId="2" xfId="21" applyNumberFormat="1" applyFill="1" applyBorder="1" applyAlignment="1">
      <alignment horizontal="center"/>
      <protection/>
    </xf>
    <xf numFmtId="9" fontId="19" fillId="9" borderId="2" xfId="21" applyNumberFormat="1" applyFill="1" applyBorder="1">
      <alignment/>
      <protection/>
    </xf>
    <xf numFmtId="6" fontId="19" fillId="9" borderId="2" xfId="0" applyNumberFormat="1" applyFont="1" applyFill="1" applyBorder="1" applyAlignment="1">
      <alignment/>
    </xf>
    <xf numFmtId="0" fontId="19" fillId="0" borderId="0" xfId="22" applyFont="1" applyAlignment="1" quotePrefix="1">
      <alignment horizontal="left"/>
      <protection/>
    </xf>
    <xf numFmtId="0" fontId="19" fillId="0" borderId="0" xfId="22" applyAlignment="1">
      <alignment horizontal="center"/>
      <protection/>
    </xf>
    <xf numFmtId="0" fontId="21" fillId="10" borderId="5" xfId="22" applyFont="1" applyFill="1" applyBorder="1" applyAlignment="1" quotePrefix="1">
      <alignment horizontal="center" wrapText="1"/>
      <protection/>
    </xf>
    <xf numFmtId="0" fontId="21" fillId="10" borderId="6" xfId="22" applyFont="1" applyFill="1" applyBorder="1" applyAlignment="1">
      <alignment horizontal="center" wrapText="1"/>
      <protection/>
    </xf>
    <xf numFmtId="0" fontId="21" fillId="10" borderId="7" xfId="22" applyFont="1" applyFill="1" applyBorder="1" applyAlignment="1">
      <alignment horizontal="center" wrapText="1"/>
      <protection/>
    </xf>
    <xf numFmtId="0" fontId="21" fillId="10" borderId="8" xfId="22" applyFont="1" applyFill="1" applyBorder="1" applyAlignment="1">
      <alignment horizontal="center" wrapText="1"/>
      <protection/>
    </xf>
    <xf numFmtId="0" fontId="21" fillId="10" borderId="9" xfId="22" applyFont="1" applyFill="1" applyBorder="1" applyAlignment="1">
      <alignment horizontal="center" wrapText="1"/>
      <protection/>
    </xf>
    <xf numFmtId="0" fontId="21" fillId="10" borderId="6" xfId="22" applyFont="1" applyFill="1" applyBorder="1" applyAlignment="1" quotePrefix="1">
      <alignment horizontal="center" wrapText="1"/>
      <protection/>
    </xf>
    <xf numFmtId="0" fontId="0" fillId="6" borderId="0" xfId="0" applyFill="1" applyAlignment="1">
      <alignment horizontal="left" wrapText="1"/>
    </xf>
    <xf numFmtId="0" fontId="0" fillId="6" borderId="0" xfId="0" applyFill="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Assign_8Toteva&amp;Wang" xfId="21"/>
    <cellStyle name="Normal_Prototype Actual &amp;  Recommended Asset Allocation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13</xdr:row>
      <xdr:rowOff>0</xdr:rowOff>
    </xdr:from>
    <xdr:to>
      <xdr:col>6</xdr:col>
      <xdr:colOff>9525</xdr:colOff>
      <xdr:row>13</xdr:row>
      <xdr:rowOff>9525</xdr:rowOff>
    </xdr:to>
    <xdr:pic>
      <xdr:nvPicPr>
        <xdr:cNvPr id="1" name="Picture 1"/>
        <xdr:cNvPicPr preferRelativeResize="1">
          <a:picLocks noChangeAspect="1"/>
        </xdr:cNvPicPr>
      </xdr:nvPicPr>
      <xdr:blipFill>
        <a:blip r:embed="rId1"/>
        <a:stretch>
          <a:fillRect/>
        </a:stretch>
      </xdr:blipFill>
      <xdr:spPr>
        <a:xfrm>
          <a:off x="7477125" y="2657475"/>
          <a:ext cx="9525" cy="9525"/>
        </a:xfrm>
        <a:prstGeom prst="rect">
          <a:avLst/>
        </a:prstGeom>
        <a:noFill/>
        <a:ln w="9525" cmpd="sng">
          <a:noFill/>
        </a:ln>
      </xdr:spPr>
    </xdr:pic>
    <xdr:clientData/>
  </xdr:twoCellAnchor>
  <xdr:twoCellAnchor editAs="oneCell">
    <xdr:from>
      <xdr:col>6</xdr:col>
      <xdr:colOff>0</xdr:colOff>
      <xdr:row>14</xdr:row>
      <xdr:rowOff>0</xdr:rowOff>
    </xdr:from>
    <xdr:to>
      <xdr:col>6</xdr:col>
      <xdr:colOff>9525</xdr:colOff>
      <xdr:row>14</xdr:row>
      <xdr:rowOff>9525</xdr:rowOff>
    </xdr:to>
    <xdr:pic>
      <xdr:nvPicPr>
        <xdr:cNvPr id="2" name="Picture 2"/>
        <xdr:cNvPicPr preferRelativeResize="1">
          <a:picLocks noChangeAspect="1"/>
        </xdr:cNvPicPr>
      </xdr:nvPicPr>
      <xdr:blipFill>
        <a:blip r:embed="rId1"/>
        <a:stretch>
          <a:fillRect/>
        </a:stretch>
      </xdr:blipFill>
      <xdr:spPr>
        <a:xfrm>
          <a:off x="7477125" y="2857500"/>
          <a:ext cx="9525" cy="9525"/>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9525</xdr:rowOff>
    </xdr:to>
    <xdr:pic>
      <xdr:nvPicPr>
        <xdr:cNvPr id="3" name="Picture 3"/>
        <xdr:cNvPicPr preferRelativeResize="1">
          <a:picLocks noChangeAspect="1"/>
        </xdr:cNvPicPr>
      </xdr:nvPicPr>
      <xdr:blipFill>
        <a:blip r:embed="rId1"/>
        <a:stretch>
          <a:fillRect/>
        </a:stretch>
      </xdr:blipFill>
      <xdr:spPr>
        <a:xfrm>
          <a:off x="7477125" y="3457575"/>
          <a:ext cx="9525" cy="9525"/>
        </a:xfrm>
        <a:prstGeom prst="rect">
          <a:avLst/>
        </a:prstGeom>
        <a:noFill/>
        <a:ln w="9525" cmpd="sng">
          <a:noFill/>
        </a:ln>
      </xdr:spPr>
    </xdr:pic>
    <xdr:clientData/>
  </xdr:twoCellAnchor>
  <xdr:twoCellAnchor editAs="oneCell">
    <xdr:from>
      <xdr:col>6</xdr:col>
      <xdr:colOff>0</xdr:colOff>
      <xdr:row>19</xdr:row>
      <xdr:rowOff>0</xdr:rowOff>
    </xdr:from>
    <xdr:to>
      <xdr:col>6</xdr:col>
      <xdr:colOff>9525</xdr:colOff>
      <xdr:row>19</xdr:row>
      <xdr:rowOff>9525</xdr:rowOff>
    </xdr:to>
    <xdr:pic>
      <xdr:nvPicPr>
        <xdr:cNvPr id="4" name="Picture 4"/>
        <xdr:cNvPicPr preferRelativeResize="1">
          <a:picLocks noChangeAspect="1"/>
        </xdr:cNvPicPr>
      </xdr:nvPicPr>
      <xdr:blipFill>
        <a:blip r:embed="rId1"/>
        <a:stretch>
          <a:fillRect/>
        </a:stretch>
      </xdr:blipFill>
      <xdr:spPr>
        <a:xfrm>
          <a:off x="7477125" y="3857625"/>
          <a:ext cx="9525" cy="9525"/>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9525</xdr:rowOff>
    </xdr:to>
    <xdr:pic>
      <xdr:nvPicPr>
        <xdr:cNvPr id="5" name="Picture 5"/>
        <xdr:cNvPicPr preferRelativeResize="1">
          <a:picLocks noChangeAspect="1"/>
        </xdr:cNvPicPr>
      </xdr:nvPicPr>
      <xdr:blipFill>
        <a:blip r:embed="rId1"/>
        <a:stretch>
          <a:fillRect/>
        </a:stretch>
      </xdr:blipFill>
      <xdr:spPr>
        <a:xfrm>
          <a:off x="7477125" y="42576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alliemae.com/get_student_loan/find_student_loan/grad/compare/" TargetMode="Externa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79"/>
  <sheetViews>
    <sheetView workbookViewId="0" topLeftCell="A1">
      <pane xSplit="1" ySplit="8" topLeftCell="E90" activePane="bottomRight" state="frozen"/>
      <selection pane="topLeft" activeCell="A1" sqref="A1"/>
      <selection pane="topRight" activeCell="B1" sqref="B1"/>
      <selection pane="bottomLeft" activeCell="A7" sqref="A7"/>
      <selection pane="bottomRight" activeCell="F99" sqref="F99"/>
    </sheetView>
  </sheetViews>
  <sheetFormatPr defaultColWidth="9.140625" defaultRowHeight="12.75"/>
  <cols>
    <col min="1" max="1" width="45.7109375" style="0" customWidth="1"/>
    <col min="2" max="6" width="13.28125" style="0" customWidth="1"/>
    <col min="7" max="7" width="21.7109375" style="0" bestFit="1" customWidth="1"/>
    <col min="8" max="8" width="13.28125" style="0" customWidth="1"/>
    <col min="9" max="9" width="15.421875" style="0" bestFit="1" customWidth="1"/>
    <col min="10" max="11" width="11.7109375" style="0" customWidth="1"/>
  </cols>
  <sheetData>
    <row r="1" spans="1:9" ht="18">
      <c r="A1" s="34" t="s">
        <v>202</v>
      </c>
      <c r="B1" s="37"/>
      <c r="C1" s="37"/>
      <c r="D1" s="37"/>
      <c r="E1" s="37"/>
      <c r="F1" s="37"/>
      <c r="G1" s="30" t="s">
        <v>203</v>
      </c>
      <c r="H1" s="37"/>
      <c r="I1" s="38">
        <v>39385</v>
      </c>
    </row>
    <row r="2" spans="1:9" ht="18">
      <c r="A2" s="36"/>
      <c r="G2" s="36"/>
      <c r="I2" s="35"/>
    </row>
    <row r="3" spans="1:9" ht="15.75">
      <c r="A3" s="32" t="s">
        <v>201</v>
      </c>
      <c r="B3">
        <v>1</v>
      </c>
      <c r="C3">
        <v>2</v>
      </c>
      <c r="D3">
        <v>3</v>
      </c>
      <c r="E3">
        <v>4</v>
      </c>
      <c r="F3">
        <v>5</v>
      </c>
      <c r="G3">
        <v>6</v>
      </c>
      <c r="H3">
        <v>7</v>
      </c>
      <c r="I3">
        <v>8</v>
      </c>
    </row>
    <row r="4" spans="1:9" ht="63.75">
      <c r="A4" s="31" t="s">
        <v>116</v>
      </c>
      <c r="B4" s="7" t="s">
        <v>48</v>
      </c>
      <c r="C4" s="7" t="s">
        <v>51</v>
      </c>
      <c r="D4" s="7" t="s">
        <v>49</v>
      </c>
      <c r="E4" s="7" t="s">
        <v>52</v>
      </c>
      <c r="F4" s="7" t="s">
        <v>50</v>
      </c>
      <c r="G4" s="7" t="s">
        <v>53</v>
      </c>
      <c r="H4" s="7" t="s">
        <v>46</v>
      </c>
      <c r="I4" s="7" t="s">
        <v>204</v>
      </c>
    </row>
    <row r="5" spans="1:9" ht="76.5">
      <c r="A5" t="s">
        <v>147</v>
      </c>
      <c r="B5" s="7" t="s">
        <v>94</v>
      </c>
      <c r="C5" s="7" t="s">
        <v>86</v>
      </c>
      <c r="D5" s="7" t="s">
        <v>95</v>
      </c>
      <c r="E5" s="7" t="s">
        <v>83</v>
      </c>
      <c r="F5" s="7" t="s">
        <v>99</v>
      </c>
      <c r="G5" s="18" t="s">
        <v>123</v>
      </c>
      <c r="H5" s="7" t="s">
        <v>84</v>
      </c>
      <c r="I5" s="7" t="s">
        <v>212</v>
      </c>
    </row>
    <row r="6" spans="1:9" ht="63.75">
      <c r="A6" t="s">
        <v>96</v>
      </c>
      <c r="B6" s="7" t="s">
        <v>28</v>
      </c>
      <c r="C6" s="18" t="s">
        <v>197</v>
      </c>
      <c r="D6" s="18" t="s">
        <v>198</v>
      </c>
      <c r="E6" s="7" t="s">
        <v>97</v>
      </c>
      <c r="F6" s="7" t="s">
        <v>98</v>
      </c>
      <c r="G6" s="7" t="s">
        <v>146</v>
      </c>
      <c r="H6" s="7" t="s">
        <v>100</v>
      </c>
      <c r="I6" s="44" t="s">
        <v>213</v>
      </c>
    </row>
    <row r="7" spans="1:9" ht="25.5">
      <c r="A7" s="17" t="s">
        <v>148</v>
      </c>
      <c r="B7" t="s">
        <v>151</v>
      </c>
      <c r="C7" s="7" t="s">
        <v>47</v>
      </c>
      <c r="D7" t="s">
        <v>54</v>
      </c>
      <c r="E7" t="s">
        <v>87</v>
      </c>
      <c r="F7" s="7" t="s">
        <v>57</v>
      </c>
      <c r="G7" t="s">
        <v>55</v>
      </c>
      <c r="H7" s="7" t="s">
        <v>56</v>
      </c>
      <c r="I7" s="7" t="s">
        <v>205</v>
      </c>
    </row>
    <row r="8" spans="1:9" ht="25.5">
      <c r="A8" t="s">
        <v>2</v>
      </c>
      <c r="B8" t="s">
        <v>23</v>
      </c>
      <c r="C8" s="7" t="s">
        <v>76</v>
      </c>
      <c r="D8" t="s">
        <v>24</v>
      </c>
      <c r="E8" t="s">
        <v>25</v>
      </c>
      <c r="F8" t="s">
        <v>26</v>
      </c>
      <c r="G8" s="7" t="s">
        <v>124</v>
      </c>
      <c r="H8" t="s">
        <v>41</v>
      </c>
      <c r="I8" s="7" t="s">
        <v>206</v>
      </c>
    </row>
    <row r="9" spans="1:9" ht="12.75">
      <c r="A9" t="s">
        <v>0</v>
      </c>
      <c r="B9" t="s">
        <v>32</v>
      </c>
      <c r="C9" t="s">
        <v>33</v>
      </c>
      <c r="D9" t="s">
        <v>34</v>
      </c>
      <c r="E9" t="s">
        <v>32</v>
      </c>
      <c r="F9" t="s">
        <v>33</v>
      </c>
      <c r="G9" s="7" t="s">
        <v>33</v>
      </c>
      <c r="H9" t="s">
        <v>33</v>
      </c>
      <c r="I9" s="7" t="s">
        <v>32</v>
      </c>
    </row>
    <row r="10" spans="1:9" ht="12.75">
      <c r="A10" t="s">
        <v>29</v>
      </c>
      <c r="B10" s="2">
        <v>26</v>
      </c>
      <c r="C10" s="2">
        <v>35</v>
      </c>
      <c r="D10" s="2" t="s">
        <v>28</v>
      </c>
      <c r="E10" s="2">
        <v>55</v>
      </c>
      <c r="F10" s="2">
        <v>36</v>
      </c>
      <c r="G10" s="2">
        <v>35</v>
      </c>
      <c r="H10">
        <v>65</v>
      </c>
      <c r="I10" s="2">
        <v>29</v>
      </c>
    </row>
    <row r="11" spans="1:9" ht="12.75">
      <c r="A11" t="s">
        <v>30</v>
      </c>
      <c r="B11" s="2" t="s">
        <v>28</v>
      </c>
      <c r="C11" s="9">
        <v>33</v>
      </c>
      <c r="D11" s="2">
        <v>45</v>
      </c>
      <c r="E11" s="2" t="s">
        <v>28</v>
      </c>
      <c r="F11" s="2">
        <v>40</v>
      </c>
      <c r="G11" s="2">
        <v>37</v>
      </c>
      <c r="H11">
        <v>68</v>
      </c>
      <c r="I11" s="7" t="s">
        <v>28</v>
      </c>
    </row>
    <row r="12" spans="1:9" ht="51">
      <c r="A12" t="s">
        <v>149</v>
      </c>
      <c r="B12" s="2" t="s">
        <v>152</v>
      </c>
      <c r="C12" s="9" t="s">
        <v>175</v>
      </c>
      <c r="D12" s="2" t="s">
        <v>28</v>
      </c>
      <c r="E12" s="20" t="s">
        <v>177</v>
      </c>
      <c r="F12" s="20" t="s">
        <v>183</v>
      </c>
      <c r="G12" s="2" t="s">
        <v>178</v>
      </c>
      <c r="H12" s="20" t="s">
        <v>187</v>
      </c>
      <c r="I12" s="7" t="s">
        <v>207</v>
      </c>
    </row>
    <row r="13" spans="1:9" ht="51">
      <c r="A13" t="s">
        <v>150</v>
      </c>
      <c r="B13" s="2" t="s">
        <v>28</v>
      </c>
      <c r="C13" s="23" t="s">
        <v>174</v>
      </c>
      <c r="D13" s="20" t="s">
        <v>173</v>
      </c>
      <c r="E13" s="2" t="s">
        <v>28</v>
      </c>
      <c r="F13" s="18" t="s">
        <v>396</v>
      </c>
      <c r="G13" s="20" t="s">
        <v>179</v>
      </c>
      <c r="H13" s="7" t="s">
        <v>188</v>
      </c>
      <c r="I13" s="7" t="s">
        <v>28</v>
      </c>
    </row>
    <row r="14" spans="1:9" ht="12.75">
      <c r="A14" t="s">
        <v>103</v>
      </c>
      <c r="B14" t="s">
        <v>153</v>
      </c>
      <c r="C14" t="s">
        <v>105</v>
      </c>
      <c r="D14" s="15" t="s">
        <v>104</v>
      </c>
      <c r="E14" s="15" t="s">
        <v>105</v>
      </c>
      <c r="F14" s="15" t="s">
        <v>106</v>
      </c>
      <c r="G14" s="15" t="s">
        <v>104</v>
      </c>
      <c r="H14" s="15" t="s">
        <v>105</v>
      </c>
      <c r="I14" s="7" t="s">
        <v>104</v>
      </c>
    </row>
    <row r="15" spans="1:9" ht="38.25">
      <c r="A15" t="s">
        <v>1</v>
      </c>
      <c r="B15" s="20" t="s">
        <v>154</v>
      </c>
      <c r="C15" s="20" t="s">
        <v>172</v>
      </c>
      <c r="D15" s="18" t="s">
        <v>176</v>
      </c>
      <c r="E15" s="20">
        <v>0</v>
      </c>
      <c r="F15" s="20" t="s">
        <v>182</v>
      </c>
      <c r="G15" s="20" t="s">
        <v>143</v>
      </c>
      <c r="H15" s="24" t="s">
        <v>189</v>
      </c>
      <c r="I15">
        <v>0</v>
      </c>
    </row>
    <row r="16" spans="1:9" ht="38.25">
      <c r="A16" s="17" t="s">
        <v>181</v>
      </c>
      <c r="B16" s="20" t="s">
        <v>28</v>
      </c>
      <c r="C16" s="20"/>
      <c r="D16" s="20"/>
      <c r="E16" s="20" t="s">
        <v>180</v>
      </c>
      <c r="F16" s="20" t="s">
        <v>28</v>
      </c>
      <c r="G16" s="20" t="s">
        <v>28</v>
      </c>
      <c r="H16" s="18" t="s">
        <v>28</v>
      </c>
      <c r="I16" s="7" t="s">
        <v>208</v>
      </c>
    </row>
    <row r="17" spans="1:9" ht="12.75">
      <c r="A17" t="s">
        <v>3</v>
      </c>
      <c r="B17" t="s">
        <v>27</v>
      </c>
      <c r="C17" t="s">
        <v>27</v>
      </c>
      <c r="D17" s="2" t="s">
        <v>27</v>
      </c>
      <c r="E17" s="2" t="s">
        <v>40</v>
      </c>
      <c r="F17" s="2" t="s">
        <v>40</v>
      </c>
      <c r="G17" s="17" t="s">
        <v>144</v>
      </c>
      <c r="H17" s="2" t="s">
        <v>40</v>
      </c>
      <c r="I17" s="7" t="s">
        <v>40</v>
      </c>
    </row>
    <row r="18" spans="1:16" ht="12.75">
      <c r="A18" t="s">
        <v>4</v>
      </c>
      <c r="B18" t="s">
        <v>27</v>
      </c>
      <c r="C18" t="s">
        <v>27</v>
      </c>
      <c r="D18" s="2" t="s">
        <v>27</v>
      </c>
      <c r="E18" s="2" t="s">
        <v>27</v>
      </c>
      <c r="F18" s="2" t="s">
        <v>27</v>
      </c>
      <c r="G18" s="2" t="s">
        <v>145</v>
      </c>
      <c r="H18" s="2" t="s">
        <v>27</v>
      </c>
      <c r="I18" s="7" t="s">
        <v>40</v>
      </c>
      <c r="P18">
        <f>118000*0.0125</f>
        <v>1475</v>
      </c>
    </row>
    <row r="19" spans="1:9" ht="12.75">
      <c r="A19" t="s">
        <v>20</v>
      </c>
      <c r="B19" t="s">
        <v>27</v>
      </c>
      <c r="C19" t="s">
        <v>27</v>
      </c>
      <c r="D19" s="2" t="s">
        <v>40</v>
      </c>
      <c r="E19" s="2" t="s">
        <v>40</v>
      </c>
      <c r="F19" s="2" t="s">
        <v>40</v>
      </c>
      <c r="G19" s="2" t="s">
        <v>40</v>
      </c>
      <c r="H19" s="2" t="s">
        <v>40</v>
      </c>
      <c r="I19" s="7" t="s">
        <v>27</v>
      </c>
    </row>
    <row r="20" spans="1:9" ht="12.75">
      <c r="A20" t="s">
        <v>21</v>
      </c>
      <c r="B20" s="2">
        <v>0</v>
      </c>
      <c r="C20" s="2">
        <v>1</v>
      </c>
      <c r="D20" s="2">
        <v>1</v>
      </c>
      <c r="E20" s="2">
        <v>1</v>
      </c>
      <c r="F20" s="2">
        <v>2</v>
      </c>
      <c r="G20" s="2">
        <v>3</v>
      </c>
      <c r="H20" s="2">
        <v>2</v>
      </c>
      <c r="I20" s="2">
        <v>1</v>
      </c>
    </row>
    <row r="21" spans="2:8" ht="12.75">
      <c r="B21" s="2"/>
      <c r="C21" s="2"/>
      <c r="D21" s="2"/>
      <c r="E21" s="2"/>
      <c r="F21" s="2"/>
      <c r="G21" s="2"/>
      <c r="H21" s="2"/>
    </row>
    <row r="22" ht="15.75">
      <c r="A22" s="33" t="s">
        <v>107</v>
      </c>
    </row>
    <row r="23" spans="1:9" ht="12.75">
      <c r="A23" t="s">
        <v>35</v>
      </c>
      <c r="B23" s="5">
        <v>20800</v>
      </c>
      <c r="C23" s="5">
        <f>32500+10500</f>
        <v>43000</v>
      </c>
      <c r="D23" s="5">
        <v>60000</v>
      </c>
      <c r="E23" s="5">
        <v>82500</v>
      </c>
      <c r="F23" s="5">
        <f>97500+40000</f>
        <v>137500</v>
      </c>
      <c r="G23" s="5">
        <f>120000+250000</f>
        <v>370000</v>
      </c>
      <c r="H23">
        <v>0</v>
      </c>
      <c r="I23" s="6">
        <v>42952</v>
      </c>
    </row>
    <row r="24" spans="1:18" ht="12.75">
      <c r="A24" t="s">
        <v>36</v>
      </c>
      <c r="B24" s="3">
        <v>0</v>
      </c>
      <c r="C24">
        <v>0</v>
      </c>
      <c r="D24" s="3">
        <v>5000</v>
      </c>
      <c r="E24" s="3">
        <v>5400</v>
      </c>
      <c r="F24" s="3">
        <f>(0.025*20000)+(40000*0.01)</f>
        <v>900</v>
      </c>
      <c r="G24" s="3">
        <f>100000+750000</f>
        <v>850000</v>
      </c>
      <c r="H24" s="6">
        <f>+Q24+Q26</f>
        <v>70272</v>
      </c>
      <c r="I24" s="5">
        <v>12000</v>
      </c>
      <c r="P24" t="s">
        <v>42</v>
      </c>
      <c r="Q24" s="6">
        <v>48000</v>
      </c>
      <c r="R24" t="s">
        <v>43</v>
      </c>
    </row>
    <row r="25" spans="1:17" ht="12.75">
      <c r="A25" s="17" t="s">
        <v>125</v>
      </c>
      <c r="B25" s="5"/>
      <c r="C25" s="5"/>
      <c r="D25" s="5"/>
      <c r="E25" s="5"/>
      <c r="F25" s="5"/>
      <c r="G25" s="29" t="s">
        <v>200</v>
      </c>
      <c r="H25" s="6">
        <f>+Q25</f>
        <v>22000</v>
      </c>
      <c r="I25" t="s">
        <v>209</v>
      </c>
      <c r="J25" s="17"/>
      <c r="P25" t="s">
        <v>44</v>
      </c>
      <c r="Q25" s="6">
        <v>22000</v>
      </c>
    </row>
    <row r="26" spans="1:18" ht="12.75">
      <c r="A26" t="s">
        <v>37</v>
      </c>
      <c r="B26" s="5">
        <f aca="true" t="shared" si="0" ref="B26:H26">SUM(B23:B25)</f>
        <v>20800</v>
      </c>
      <c r="C26" s="5">
        <f t="shared" si="0"/>
        <v>43000</v>
      </c>
      <c r="D26" s="5">
        <f t="shared" si="0"/>
        <v>65000</v>
      </c>
      <c r="E26" s="5">
        <f t="shared" si="0"/>
        <v>87900</v>
      </c>
      <c r="F26" s="5">
        <f t="shared" si="0"/>
        <v>138400</v>
      </c>
      <c r="G26" s="5">
        <f t="shared" si="0"/>
        <v>1220000</v>
      </c>
      <c r="H26" s="5">
        <f t="shared" si="0"/>
        <v>92272</v>
      </c>
      <c r="I26" s="47">
        <f>I23+I24</f>
        <v>54952</v>
      </c>
      <c r="K26" s="6"/>
      <c r="P26" t="s">
        <v>45</v>
      </c>
      <c r="Q26" s="6">
        <f>1856*12</f>
        <v>22272</v>
      </c>
      <c r="R26" s="6">
        <f>Q24+Q26</f>
        <v>70272</v>
      </c>
    </row>
    <row r="27" spans="9:17" ht="12.75">
      <c r="I27" s="5">
        <v>38721</v>
      </c>
      <c r="J27" s="5">
        <v>8730</v>
      </c>
      <c r="K27" s="5"/>
      <c r="L27" s="3"/>
      <c r="Q27" s="6">
        <f>SUM(Q24:Q26)</f>
        <v>92272</v>
      </c>
    </row>
    <row r="28" spans="9:12" ht="12.75">
      <c r="I28" s="5"/>
      <c r="J28" s="5"/>
      <c r="K28" s="5"/>
      <c r="L28" s="3"/>
    </row>
    <row r="29" spans="1:12" ht="15.75">
      <c r="A29" s="39" t="s">
        <v>108</v>
      </c>
      <c r="I29" s="5"/>
      <c r="J29" s="46" t="s">
        <v>210</v>
      </c>
      <c r="K29" s="46" t="s">
        <v>211</v>
      </c>
      <c r="L29" s="3"/>
    </row>
    <row r="30" spans="1:12" ht="12.75">
      <c r="A30" t="s">
        <v>67</v>
      </c>
      <c r="B30" s="5">
        <v>-2871</v>
      </c>
      <c r="C30" s="5">
        <v>0</v>
      </c>
      <c r="D30" s="5">
        <f>4000+0.25*(58944-29050)</f>
        <v>11473.5</v>
      </c>
      <c r="E30" s="5">
        <v>14462</v>
      </c>
      <c r="F30" s="5">
        <v>18085</v>
      </c>
      <c r="G30" t="s">
        <v>31</v>
      </c>
      <c r="H30" s="5">
        <f>15306+750</f>
        <v>16056</v>
      </c>
      <c r="I30" s="42">
        <v>7129</v>
      </c>
      <c r="J30" s="5">
        <v>5896</v>
      </c>
      <c r="K30" s="5">
        <v>1233</v>
      </c>
      <c r="L30" s="3"/>
    </row>
    <row r="31" spans="1:12" ht="12.75">
      <c r="A31" t="s">
        <v>101</v>
      </c>
      <c r="B31" s="5" t="s">
        <v>28</v>
      </c>
      <c r="C31" s="5">
        <v>0</v>
      </c>
      <c r="D31" s="5">
        <f>0.03*50550</f>
        <v>1516.5</v>
      </c>
      <c r="E31">
        <v>5399</v>
      </c>
      <c r="F31">
        <v>0</v>
      </c>
      <c r="G31" t="s">
        <v>31</v>
      </c>
      <c r="H31" s="5">
        <v>5525</v>
      </c>
      <c r="I31" s="43">
        <v>2578</v>
      </c>
      <c r="J31" s="5"/>
      <c r="K31" s="5"/>
      <c r="L31" s="3"/>
    </row>
    <row r="32" spans="1:12" ht="12.75">
      <c r="A32" t="s">
        <v>163</v>
      </c>
      <c r="B32" s="5" t="s">
        <v>28</v>
      </c>
      <c r="C32" s="5" t="s">
        <v>28</v>
      </c>
      <c r="D32" s="5" t="s">
        <v>28</v>
      </c>
      <c r="E32" s="5" t="s">
        <v>28</v>
      </c>
      <c r="F32" s="5" t="s">
        <v>28</v>
      </c>
      <c r="G32" s="5" t="s">
        <v>28</v>
      </c>
      <c r="H32" s="5" t="s">
        <v>28</v>
      </c>
      <c r="I32" s="5" t="s">
        <v>28</v>
      </c>
      <c r="J32" s="5"/>
      <c r="K32" s="5"/>
      <c r="L32" s="3"/>
    </row>
    <row r="33" spans="1:12" ht="12.75">
      <c r="A33" t="s">
        <v>68</v>
      </c>
      <c r="B33" s="5">
        <f>0.0765*B23</f>
        <v>1591.2</v>
      </c>
      <c r="C33" s="5">
        <f>C23*0.0765</f>
        <v>3289.5</v>
      </c>
      <c r="D33" s="5">
        <f>D26*0.0765</f>
        <v>4972.5</v>
      </c>
      <c r="E33" s="5">
        <f>E23*0.0765</f>
        <v>6311.25</v>
      </c>
      <c r="F33" s="5">
        <f>F23*0.0765</f>
        <v>10518.75</v>
      </c>
      <c r="G33" t="s">
        <v>31</v>
      </c>
      <c r="H33" t="s">
        <v>28</v>
      </c>
      <c r="I33" s="42">
        <v>3888.7019999999998</v>
      </c>
      <c r="J33" s="43">
        <v>2400.7019999999998</v>
      </c>
      <c r="K33" s="5">
        <v>1488</v>
      </c>
      <c r="L33" s="3"/>
    </row>
    <row r="34" spans="1:12" ht="12.75">
      <c r="A34" t="s">
        <v>69</v>
      </c>
      <c r="B34" s="5">
        <f>B23*0.0145</f>
        <v>301.6</v>
      </c>
      <c r="C34" s="5">
        <f>C23*0.0145</f>
        <v>623.5</v>
      </c>
      <c r="D34" s="5">
        <f>D26*0.0145</f>
        <v>942.5</v>
      </c>
      <c r="E34" s="5">
        <f>E23*0.0145</f>
        <v>1196.25</v>
      </c>
      <c r="F34" s="5">
        <f>F23*0.0145</f>
        <v>1993.75</v>
      </c>
      <c r="G34" t="s">
        <v>31</v>
      </c>
      <c r="H34" t="s">
        <v>28</v>
      </c>
      <c r="I34" s="42">
        <v>909.4545</v>
      </c>
      <c r="J34" s="43">
        <v>561.4545</v>
      </c>
      <c r="K34" s="5">
        <v>348</v>
      </c>
      <c r="L34" s="3"/>
    </row>
    <row r="35" spans="1:12" ht="12.75">
      <c r="A35" t="s">
        <v>70</v>
      </c>
      <c r="B35" s="5">
        <f>B23-SUM(B30+B33+B34)</f>
        <v>21778.2</v>
      </c>
      <c r="C35" s="5">
        <f>C23-SUM(C30:C34)</f>
        <v>39087</v>
      </c>
      <c r="D35" s="5">
        <f>D26-SUM(D30:D34)</f>
        <v>46095</v>
      </c>
      <c r="E35" s="5">
        <f>E26-SUM(E30:E34)</f>
        <v>60531.5</v>
      </c>
      <c r="F35" s="5">
        <f>F26-SUM(F30:F34)</f>
        <v>107802.5</v>
      </c>
      <c r="G35" t="s">
        <v>31</v>
      </c>
      <c r="H35" s="5">
        <f>H26-SUM(H30:H34)</f>
        <v>70691</v>
      </c>
      <c r="I35" s="48">
        <v>40446.8435</v>
      </c>
      <c r="J35" s="5"/>
      <c r="K35" s="5"/>
      <c r="L35" s="3"/>
    </row>
    <row r="36" spans="7:10" ht="12.75">
      <c r="G36" s="12"/>
      <c r="J36" s="6"/>
    </row>
    <row r="37" spans="7:10" ht="12.75">
      <c r="G37" s="14"/>
      <c r="J37" s="6"/>
    </row>
    <row r="38" ht="12.75">
      <c r="J38" s="6"/>
    </row>
    <row r="39" ht="47.25">
      <c r="A39" s="40" t="s">
        <v>169</v>
      </c>
    </row>
    <row r="40" spans="1:14" ht="25.5">
      <c r="A40" s="18" t="s">
        <v>400</v>
      </c>
      <c r="B40" s="3">
        <v>0</v>
      </c>
      <c r="C40" s="3">
        <v>0</v>
      </c>
      <c r="D40" s="3">
        <v>0</v>
      </c>
      <c r="E40" s="3">
        <v>0</v>
      </c>
      <c r="F40" s="3">
        <v>0</v>
      </c>
      <c r="G40" s="3">
        <f>+'401k Calculations for #6'!E20+'401k Calculations for #6'!J20</f>
        <v>8000</v>
      </c>
      <c r="H40" s="6"/>
      <c r="I40" s="3">
        <v>0</v>
      </c>
      <c r="J40" s="3"/>
      <c r="K40" s="3"/>
      <c r="L40" s="3"/>
      <c r="M40" s="3"/>
      <c r="N40" s="3"/>
    </row>
    <row r="41" spans="1:14" ht="12.75">
      <c r="A41" t="s">
        <v>38</v>
      </c>
      <c r="B41" s="3">
        <v>0</v>
      </c>
      <c r="C41" s="3">
        <v>0</v>
      </c>
      <c r="D41" s="3">
        <v>0</v>
      </c>
      <c r="E41" s="3">
        <v>0</v>
      </c>
      <c r="F41" s="3">
        <f>+(0.05*97500)+(0.064*40000)</f>
        <v>7435</v>
      </c>
      <c r="G41" s="3">
        <f>+'401k Calculations for #6'!G21+'401k Calculations for #6'!L21</f>
        <v>30000</v>
      </c>
      <c r="H41" s="6"/>
      <c r="I41" s="45">
        <v>4295.2</v>
      </c>
      <c r="J41" s="3"/>
      <c r="K41" s="3"/>
      <c r="L41" s="3"/>
      <c r="M41" s="3"/>
      <c r="N41" s="3"/>
    </row>
    <row r="42" spans="1:14" ht="12.75">
      <c r="A42" t="s">
        <v>39</v>
      </c>
      <c r="B42" s="3">
        <f>B23*0.05</f>
        <v>1040</v>
      </c>
      <c r="C42" s="3">
        <v>0</v>
      </c>
      <c r="D42" s="3">
        <f>0.05*D23</f>
        <v>3000</v>
      </c>
      <c r="E42" s="3">
        <v>0</v>
      </c>
      <c r="F42" s="3">
        <f>0.1*97500</f>
        <v>9750</v>
      </c>
      <c r="G42" s="3">
        <f>+'401k Calculations for #6'!M41</f>
        <v>7500</v>
      </c>
      <c r="H42" s="6"/>
      <c r="I42" s="45">
        <v>2147.6</v>
      </c>
      <c r="J42" s="3"/>
      <c r="K42" s="3"/>
      <c r="L42" s="3"/>
      <c r="M42" s="3"/>
      <c r="N42" s="3"/>
    </row>
    <row r="43" spans="1:14" ht="12.75">
      <c r="A43" s="17" t="s">
        <v>167</v>
      </c>
      <c r="B43" s="3"/>
      <c r="C43" s="3"/>
      <c r="D43" s="3"/>
      <c r="E43" s="3"/>
      <c r="F43" s="3">
        <f>40000*0.064</f>
        <v>2560</v>
      </c>
      <c r="G43" s="3" t="s">
        <v>28</v>
      </c>
      <c r="H43" s="6"/>
      <c r="I43" s="3" t="s">
        <v>28</v>
      </c>
      <c r="J43" s="3"/>
      <c r="K43" s="3"/>
      <c r="L43" s="3"/>
      <c r="M43" s="3"/>
      <c r="N43" s="3"/>
    </row>
    <row r="44" spans="1:14" ht="12.75">
      <c r="A44" t="s">
        <v>168</v>
      </c>
      <c r="G44" s="3">
        <v>25000</v>
      </c>
      <c r="I44" s="3" t="s">
        <v>28</v>
      </c>
      <c r="J44" s="3"/>
      <c r="K44" s="3"/>
      <c r="L44" s="3"/>
      <c r="M44" s="3"/>
      <c r="N44" s="3"/>
    </row>
    <row r="45" spans="2:14" ht="12.75">
      <c r="B45" s="3"/>
      <c r="C45" s="3"/>
      <c r="D45" s="3"/>
      <c r="E45" s="3"/>
      <c r="F45" s="3"/>
      <c r="G45" s="3"/>
      <c r="H45" s="6"/>
      <c r="I45" s="3"/>
      <c r="J45" s="3"/>
      <c r="K45" s="3"/>
      <c r="L45" s="3"/>
      <c r="M45" s="3"/>
      <c r="N45" s="3"/>
    </row>
    <row r="46" spans="1:14" ht="12.75">
      <c r="A46" t="s">
        <v>401</v>
      </c>
      <c r="B46" s="3">
        <v>0</v>
      </c>
      <c r="C46" s="3">
        <v>0</v>
      </c>
      <c r="D46" s="3">
        <v>0</v>
      </c>
      <c r="E46" s="3">
        <v>0</v>
      </c>
      <c r="F46" s="3">
        <v>4000</v>
      </c>
      <c r="G46" s="3">
        <v>4000</v>
      </c>
      <c r="H46" s="6"/>
      <c r="I46" s="3">
        <v>0</v>
      </c>
      <c r="J46" s="3"/>
      <c r="K46" s="3"/>
      <c r="L46" s="3"/>
      <c r="M46" s="3"/>
      <c r="N46" s="3"/>
    </row>
    <row r="47" spans="2:14" ht="12.75">
      <c r="B47" s="3"/>
      <c r="C47" s="3"/>
      <c r="D47" s="3"/>
      <c r="E47" s="3"/>
      <c r="F47" s="3"/>
      <c r="G47" s="3"/>
      <c r="H47" s="3"/>
      <c r="I47" s="3"/>
      <c r="J47" s="3"/>
      <c r="K47" s="3"/>
      <c r="L47" s="3"/>
      <c r="M47" s="3"/>
      <c r="N47" s="3"/>
    </row>
    <row r="48" spans="1:14" ht="15.75">
      <c r="A48" s="39" t="s">
        <v>109</v>
      </c>
      <c r="B48" s="3"/>
      <c r="C48" s="3"/>
      <c r="D48" s="3"/>
      <c r="E48" s="3"/>
      <c r="F48" s="3"/>
      <c r="G48" s="3"/>
      <c r="H48" s="3"/>
      <c r="I48" s="3"/>
      <c r="J48" s="3"/>
      <c r="K48" s="3"/>
      <c r="L48" s="3"/>
      <c r="M48" s="3"/>
      <c r="N48" s="3"/>
    </row>
    <row r="49" spans="1:14" ht="12.75">
      <c r="A49" s="21" t="s">
        <v>159</v>
      </c>
      <c r="B49" s="3"/>
      <c r="C49" s="3"/>
      <c r="D49" s="3"/>
      <c r="E49" s="3"/>
      <c r="F49" s="3"/>
      <c r="G49" s="3"/>
      <c r="H49" s="3"/>
      <c r="I49" s="3"/>
      <c r="J49" s="3"/>
      <c r="K49" s="3"/>
      <c r="L49" s="3"/>
      <c r="M49" s="3"/>
      <c r="N49" s="3"/>
    </row>
    <row r="50" spans="1:14" ht="12.75">
      <c r="A50" t="s">
        <v>8</v>
      </c>
      <c r="B50" s="3">
        <v>0</v>
      </c>
      <c r="C50" s="10">
        <f>1000*12</f>
        <v>12000</v>
      </c>
      <c r="D50" s="3" t="s">
        <v>28</v>
      </c>
      <c r="E50" s="3" t="s">
        <v>28</v>
      </c>
      <c r="F50" s="3" t="s">
        <v>28</v>
      </c>
      <c r="G50" s="3" t="s">
        <v>28</v>
      </c>
      <c r="H50" s="3">
        <v>0</v>
      </c>
      <c r="I50" s="49">
        <f>(950*12)</f>
        <v>11400</v>
      </c>
      <c r="J50" s="3"/>
      <c r="K50" s="3"/>
      <c r="L50" s="3"/>
      <c r="M50" s="3"/>
      <c r="N50" s="3"/>
    </row>
    <row r="51" spans="1:14" ht="12.75">
      <c r="A51" t="s">
        <v>9</v>
      </c>
      <c r="B51" s="4" t="s">
        <v>28</v>
      </c>
      <c r="C51" s="4" t="s">
        <v>28</v>
      </c>
      <c r="D51" s="3">
        <v>9800</v>
      </c>
      <c r="E51" s="3">
        <v>7554</v>
      </c>
      <c r="F51" s="3">
        <f>8270</f>
        <v>8270</v>
      </c>
      <c r="G51" s="3" t="s">
        <v>195</v>
      </c>
      <c r="H51" s="3">
        <v>0</v>
      </c>
      <c r="I51" s="3" t="s">
        <v>28</v>
      </c>
      <c r="J51" s="3"/>
      <c r="K51" s="3"/>
      <c r="L51" s="3"/>
      <c r="M51" s="28"/>
      <c r="N51" s="3"/>
    </row>
    <row r="52" spans="1:14" ht="12.75">
      <c r="A52" t="s">
        <v>10</v>
      </c>
      <c r="B52" s="4" t="s">
        <v>28</v>
      </c>
      <c r="C52" s="4" t="s">
        <v>28</v>
      </c>
      <c r="D52" s="3" t="s">
        <v>28</v>
      </c>
      <c r="E52" s="3" t="s">
        <v>28</v>
      </c>
      <c r="F52" s="3" t="s">
        <v>28</v>
      </c>
      <c r="G52" s="3">
        <v>100</v>
      </c>
      <c r="H52" s="3">
        <v>0</v>
      </c>
      <c r="I52" s="3" t="s">
        <v>28</v>
      </c>
      <c r="J52" s="3"/>
      <c r="K52" s="3"/>
      <c r="L52" s="3"/>
      <c r="M52" s="3"/>
      <c r="N52" s="3"/>
    </row>
    <row r="53" spans="1:14" ht="12.75">
      <c r="A53" s="17" t="s">
        <v>161</v>
      </c>
      <c r="B53" s="4">
        <v>2500</v>
      </c>
      <c r="C53" s="4">
        <v>250</v>
      </c>
      <c r="D53" s="3">
        <f>767+3600</f>
        <v>4367</v>
      </c>
      <c r="E53" s="3">
        <f>5000+1775</f>
        <v>6775</v>
      </c>
      <c r="F53" s="3">
        <f>992+5000</f>
        <v>5992</v>
      </c>
      <c r="G53" s="3">
        <f>(200*12)+5000+3000</f>
        <v>10400</v>
      </c>
      <c r="H53" s="3">
        <f>0.13*20000+4000</f>
        <v>6600</v>
      </c>
      <c r="I53" s="3" t="s">
        <v>28</v>
      </c>
      <c r="J53" s="3"/>
      <c r="K53" s="3"/>
      <c r="L53" s="3"/>
      <c r="M53" s="3"/>
      <c r="N53" s="3"/>
    </row>
    <row r="54" spans="1:14" ht="12.75">
      <c r="A54" s="2" t="s">
        <v>162</v>
      </c>
      <c r="B54" s="4"/>
      <c r="C54" s="4"/>
      <c r="D54" s="3"/>
      <c r="E54" s="3"/>
      <c r="F54" s="3"/>
      <c r="G54" s="3">
        <f>+G96*G140*22.55/1000</f>
        <v>0</v>
      </c>
      <c r="H54" s="3"/>
      <c r="I54" s="3" t="s">
        <v>28</v>
      </c>
      <c r="J54" s="3"/>
      <c r="K54" s="3"/>
      <c r="L54" s="3"/>
      <c r="M54" s="3"/>
      <c r="N54" s="3"/>
    </row>
    <row r="55" spans="1:14" ht="12.75">
      <c r="A55" s="17" t="s">
        <v>160</v>
      </c>
      <c r="B55" s="4">
        <v>1700</v>
      </c>
      <c r="C55" s="4">
        <v>2300</v>
      </c>
      <c r="D55" s="3">
        <v>2000</v>
      </c>
      <c r="E55" s="3">
        <v>3300</v>
      </c>
      <c r="F55" s="3">
        <v>5000</v>
      </c>
      <c r="G55" s="27" t="s">
        <v>200</v>
      </c>
      <c r="H55" s="3">
        <v>4000</v>
      </c>
      <c r="I55" s="49">
        <v>4056</v>
      </c>
      <c r="J55" s="3"/>
      <c r="K55" s="3"/>
      <c r="L55" s="3"/>
      <c r="M55" s="3"/>
      <c r="N55" s="3"/>
    </row>
    <row r="56" spans="1:14" ht="25.5">
      <c r="A56" s="7" t="s">
        <v>59</v>
      </c>
      <c r="B56" s="4">
        <v>1000</v>
      </c>
      <c r="C56" s="4">
        <v>1000</v>
      </c>
      <c r="D56" s="3">
        <v>1300</v>
      </c>
      <c r="E56" s="3">
        <v>1500</v>
      </c>
      <c r="F56" s="3">
        <v>7000</v>
      </c>
      <c r="G56" s="3">
        <f>(125*52)+(150*12)+7500</f>
        <v>15800</v>
      </c>
      <c r="H56" s="3">
        <v>4000</v>
      </c>
      <c r="I56" s="3">
        <v>500</v>
      </c>
      <c r="J56" s="3"/>
      <c r="K56" s="3"/>
      <c r="L56" s="3"/>
      <c r="M56" s="3"/>
      <c r="N56" s="3"/>
    </row>
    <row r="57" spans="1:14" ht="12.75">
      <c r="A57" s="7" t="s">
        <v>60</v>
      </c>
      <c r="B57" s="4">
        <v>7300</v>
      </c>
      <c r="C57" s="4">
        <v>10000</v>
      </c>
      <c r="D57" s="3">
        <v>5000</v>
      </c>
      <c r="E57" s="3">
        <v>6500</v>
      </c>
      <c r="F57" s="3">
        <v>15000</v>
      </c>
      <c r="G57" s="3">
        <f>+(300*48)+(60*5*48)+(300*48)+(20*5*48)</f>
        <v>48000</v>
      </c>
      <c r="H57" s="3">
        <v>9000</v>
      </c>
      <c r="I57" s="49">
        <v>7128</v>
      </c>
      <c r="J57" s="3"/>
      <c r="K57" s="3"/>
      <c r="L57" s="3"/>
      <c r="M57" s="3"/>
      <c r="N57" s="3"/>
    </row>
    <row r="58" spans="1:14" ht="12.75">
      <c r="A58" s="7" t="s">
        <v>61</v>
      </c>
      <c r="B58" s="4">
        <v>1500</v>
      </c>
      <c r="C58" s="4">
        <v>2250</v>
      </c>
      <c r="D58" s="3">
        <v>1500</v>
      </c>
      <c r="E58" s="3">
        <v>2100</v>
      </c>
      <c r="F58" s="3">
        <v>8000</v>
      </c>
      <c r="G58" s="27" t="s">
        <v>200</v>
      </c>
      <c r="H58" s="3">
        <v>2000</v>
      </c>
      <c r="I58" s="3">
        <v>1100</v>
      </c>
      <c r="J58" s="3"/>
      <c r="K58" s="3"/>
      <c r="L58" s="3"/>
      <c r="M58" s="3"/>
      <c r="N58" s="3"/>
    </row>
    <row r="59" spans="1:14" ht="12.75">
      <c r="A59" s="7" t="s">
        <v>62</v>
      </c>
      <c r="B59" s="4">
        <v>2000</v>
      </c>
      <c r="C59" s="4">
        <f>1000+981+1000</f>
        <v>2981</v>
      </c>
      <c r="D59" s="3">
        <v>2000</v>
      </c>
      <c r="E59" s="3">
        <v>2500</v>
      </c>
      <c r="F59" s="3">
        <v>6000</v>
      </c>
      <c r="G59" s="3">
        <f>(280*2*12)+(500*12)+1500</f>
        <v>14220</v>
      </c>
      <c r="H59" s="3">
        <v>4500</v>
      </c>
      <c r="I59" s="3">
        <v>4178.74</v>
      </c>
      <c r="J59" s="3"/>
      <c r="K59" s="3"/>
      <c r="L59" s="3"/>
      <c r="M59" s="3"/>
      <c r="N59" s="3"/>
    </row>
    <row r="60" spans="1:14" ht="12.75">
      <c r="A60" s="7" t="s">
        <v>192</v>
      </c>
      <c r="B60" s="4"/>
      <c r="C60" s="4"/>
      <c r="D60" s="3"/>
      <c r="E60" s="3"/>
      <c r="F60" s="3"/>
      <c r="G60" s="3">
        <f>+G97*22.55/1000</f>
        <v>929.06</v>
      </c>
      <c r="H60" s="3"/>
      <c r="I60" t="s">
        <v>28</v>
      </c>
      <c r="K60" s="3"/>
      <c r="L60" s="3"/>
      <c r="M60" s="3"/>
      <c r="N60" s="3"/>
    </row>
    <row r="61" spans="1:14" ht="12.75">
      <c r="A61" s="7" t="s">
        <v>75</v>
      </c>
      <c r="B61" s="4">
        <v>250</v>
      </c>
      <c r="C61" s="4">
        <v>300</v>
      </c>
      <c r="D61" s="3">
        <v>100</v>
      </c>
      <c r="E61" s="3">
        <v>500</v>
      </c>
      <c r="F61" s="3">
        <v>1500</v>
      </c>
      <c r="G61" s="27" t="s">
        <v>200</v>
      </c>
      <c r="H61" s="3">
        <v>5000</v>
      </c>
      <c r="I61" s="3">
        <v>225.6</v>
      </c>
      <c r="J61" s="3"/>
      <c r="K61" s="3"/>
      <c r="L61" s="3"/>
      <c r="M61" s="3"/>
      <c r="N61" s="3"/>
    </row>
    <row r="62" spans="1:14" ht="12.75">
      <c r="A62" s="7" t="s">
        <v>73</v>
      </c>
      <c r="B62" s="4">
        <v>1200</v>
      </c>
      <c r="C62" s="4">
        <v>1500</v>
      </c>
      <c r="D62" s="3">
        <v>1500</v>
      </c>
      <c r="E62" s="3">
        <v>2500</v>
      </c>
      <c r="F62" s="3">
        <v>12500</v>
      </c>
      <c r="G62" s="3">
        <v>50000</v>
      </c>
      <c r="H62" s="3">
        <v>20000</v>
      </c>
      <c r="I62" s="3">
        <v>1186</v>
      </c>
      <c r="J62" s="3"/>
      <c r="K62" s="3"/>
      <c r="L62" s="3"/>
      <c r="M62" s="3"/>
      <c r="N62" s="3"/>
    </row>
    <row r="63" spans="1:14" ht="12.75">
      <c r="A63" s="7" t="s">
        <v>63</v>
      </c>
      <c r="B63" s="4">
        <v>500</v>
      </c>
      <c r="C63" s="4">
        <v>750</v>
      </c>
      <c r="D63" s="3">
        <v>500</v>
      </c>
      <c r="E63" s="3">
        <v>1000</v>
      </c>
      <c r="F63" s="3">
        <v>4000</v>
      </c>
      <c r="G63" s="3">
        <f>(175*12)+(400*12)+(100*12)+(20*52)+(75*12)+3000+(50*100)</f>
        <v>18040</v>
      </c>
      <c r="H63" s="3">
        <v>1500</v>
      </c>
      <c r="I63" s="3">
        <v>663</v>
      </c>
      <c r="J63" s="3"/>
      <c r="K63" s="3"/>
      <c r="L63" s="3"/>
      <c r="M63" s="3"/>
      <c r="N63" s="3"/>
    </row>
    <row r="64" spans="1:14" ht="12.75">
      <c r="A64" s="7" t="s">
        <v>64</v>
      </c>
      <c r="B64" s="4">
        <v>260</v>
      </c>
      <c r="C64" s="4">
        <v>250</v>
      </c>
      <c r="D64" s="3">
        <v>250</v>
      </c>
      <c r="E64" s="3">
        <v>1500</v>
      </c>
      <c r="F64" s="3">
        <v>5000</v>
      </c>
      <c r="G64" s="3">
        <v>10000</v>
      </c>
      <c r="H64" s="3">
        <v>2500</v>
      </c>
      <c r="I64" s="3">
        <v>100</v>
      </c>
      <c r="J64" s="3"/>
      <c r="K64" s="3"/>
      <c r="L64" s="3"/>
      <c r="M64" s="3"/>
      <c r="N64" s="3"/>
    </row>
    <row r="65" spans="1:14" ht="12.75">
      <c r="A65" s="7" t="s">
        <v>65</v>
      </c>
      <c r="B65" s="4">
        <v>300</v>
      </c>
      <c r="C65" s="4">
        <v>500</v>
      </c>
      <c r="D65" s="3">
        <v>600</v>
      </c>
      <c r="E65" s="3">
        <v>2100</v>
      </c>
      <c r="F65" s="3">
        <v>1200</v>
      </c>
      <c r="G65" s="27" t="s">
        <v>200</v>
      </c>
      <c r="H65" s="3">
        <v>1000</v>
      </c>
      <c r="I65" s="3">
        <v>3600</v>
      </c>
      <c r="J65" s="3"/>
      <c r="K65" s="3"/>
      <c r="L65" s="3"/>
      <c r="M65" s="3"/>
      <c r="N65" s="3"/>
    </row>
    <row r="66" spans="1:14" ht="12.75">
      <c r="A66" s="7" t="s">
        <v>196</v>
      </c>
      <c r="B66" s="4"/>
      <c r="C66" s="4"/>
      <c r="D66" s="3"/>
      <c r="E66" s="3"/>
      <c r="F66" s="3"/>
      <c r="G66" s="3">
        <f>800*52</f>
        <v>41600</v>
      </c>
      <c r="H66" s="3"/>
      <c r="I66" s="3" t="s">
        <v>28</v>
      </c>
      <c r="J66" s="3"/>
      <c r="K66" s="3"/>
      <c r="L66" s="3"/>
      <c r="M66" s="3"/>
      <c r="N66" s="3"/>
    </row>
    <row r="67" spans="1:14" ht="12.75">
      <c r="A67" s="7"/>
      <c r="B67" s="4"/>
      <c r="C67" s="4"/>
      <c r="D67" s="3"/>
      <c r="E67" s="3"/>
      <c r="F67" s="3"/>
      <c r="G67" s="3"/>
      <c r="H67" s="3"/>
      <c r="I67" s="3"/>
      <c r="J67" s="3"/>
      <c r="K67" s="3"/>
      <c r="L67" s="3"/>
      <c r="M67" s="3"/>
      <c r="N67" s="3"/>
    </row>
    <row r="68" spans="1:14" ht="15.75">
      <c r="A68" s="41" t="s">
        <v>110</v>
      </c>
      <c r="B68" s="4"/>
      <c r="C68" s="4"/>
      <c r="D68" s="3"/>
      <c r="E68" s="3"/>
      <c r="F68" s="3"/>
      <c r="G68" s="3"/>
      <c r="H68" s="3"/>
      <c r="I68" s="3"/>
      <c r="J68" s="3"/>
      <c r="K68" s="3"/>
      <c r="L68" s="3"/>
      <c r="M68" s="3"/>
      <c r="N68" s="3"/>
    </row>
    <row r="69" spans="1:14" ht="12.75">
      <c r="A69" t="s">
        <v>11</v>
      </c>
      <c r="B69" s="4" t="s">
        <v>28</v>
      </c>
      <c r="C69" s="3">
        <f>400*12</f>
        <v>4800</v>
      </c>
      <c r="D69" s="3">
        <f>250*12</f>
        <v>3000</v>
      </c>
      <c r="E69" s="3">
        <v>0</v>
      </c>
      <c r="F69" s="3">
        <f>(250+50)*12</f>
        <v>3600</v>
      </c>
      <c r="G69">
        <f>300*12</f>
        <v>3600</v>
      </c>
      <c r="H69" s="6">
        <v>3600</v>
      </c>
      <c r="I69" s="3">
        <v>400</v>
      </c>
      <c r="J69" s="3"/>
      <c r="K69" s="3"/>
      <c r="L69" s="3"/>
      <c r="M69" s="3"/>
      <c r="N69" s="3"/>
    </row>
    <row r="70" spans="1:14" ht="12.75">
      <c r="A70" t="s">
        <v>12</v>
      </c>
      <c r="B70" s="4">
        <v>500</v>
      </c>
      <c r="C70" s="4">
        <v>0</v>
      </c>
      <c r="D70" s="3">
        <f>0.005*268000</f>
        <v>1340</v>
      </c>
      <c r="E70">
        <f>0.005*350000</f>
        <v>1750</v>
      </c>
      <c r="F70">
        <f>0.005*310000</f>
        <v>1550</v>
      </c>
      <c r="G70" t="s">
        <v>200</v>
      </c>
      <c r="H70">
        <f>0.005*250000</f>
        <v>1250</v>
      </c>
      <c r="I70" s="3" t="s">
        <v>28</v>
      </c>
      <c r="J70" s="3"/>
      <c r="K70" s="3"/>
      <c r="L70" s="3"/>
      <c r="M70" s="3"/>
      <c r="N70" s="3"/>
    </row>
    <row r="71" spans="1:14" ht="12.75">
      <c r="A71" t="s">
        <v>18</v>
      </c>
      <c r="B71" s="4" t="s">
        <v>28</v>
      </c>
      <c r="C71" s="4">
        <v>1000</v>
      </c>
      <c r="D71" s="3">
        <v>1500</v>
      </c>
      <c r="E71" s="3">
        <f>1900</f>
        <v>1900</v>
      </c>
      <c r="F71" s="3">
        <f>890*2</f>
        <v>1780</v>
      </c>
      <c r="G71">
        <f>SUM(200+384+525)*2</f>
        <v>2218</v>
      </c>
      <c r="H71" s="3">
        <v>2000</v>
      </c>
      <c r="I71" s="3">
        <v>1173</v>
      </c>
      <c r="J71" s="3"/>
      <c r="K71" s="3"/>
      <c r="L71" s="3"/>
      <c r="M71" s="3"/>
      <c r="N71" s="3"/>
    </row>
    <row r="72" spans="1:14" ht="12.75">
      <c r="A72" t="s">
        <v>155</v>
      </c>
      <c r="B72" s="4"/>
      <c r="C72" s="4"/>
      <c r="D72" s="3"/>
      <c r="E72" s="3"/>
      <c r="F72" s="3"/>
      <c r="G72" t="s">
        <v>194</v>
      </c>
      <c r="H72" s="3"/>
      <c r="I72" s="3" t="s">
        <v>28</v>
      </c>
      <c r="J72" s="3"/>
      <c r="K72" s="3"/>
      <c r="L72" s="3"/>
      <c r="M72" s="3"/>
      <c r="N72" s="3"/>
    </row>
    <row r="73" spans="1:14" ht="12.75">
      <c r="A73" t="s">
        <v>156</v>
      </c>
      <c r="B73" s="4"/>
      <c r="C73" s="4"/>
      <c r="D73" s="3"/>
      <c r="E73" s="3"/>
      <c r="F73" s="3"/>
      <c r="G73" t="s">
        <v>194</v>
      </c>
      <c r="H73" s="3"/>
      <c r="I73" s="49" t="s">
        <v>28</v>
      </c>
      <c r="J73" s="3"/>
      <c r="K73" s="3"/>
      <c r="L73" s="3"/>
      <c r="M73" s="3"/>
      <c r="N73" s="3"/>
    </row>
    <row r="74" spans="2:14" ht="12.75">
      <c r="B74" s="4"/>
      <c r="C74" s="4"/>
      <c r="D74" s="3"/>
      <c r="E74" s="3"/>
      <c r="F74" s="3"/>
      <c r="H74" s="3"/>
      <c r="I74" s="3"/>
      <c r="J74" s="3"/>
      <c r="K74" s="3"/>
      <c r="L74" s="3"/>
      <c r="M74" s="3"/>
      <c r="N74" s="3"/>
    </row>
    <row r="75" spans="1:14" ht="15.75">
      <c r="A75" s="41" t="s">
        <v>111</v>
      </c>
      <c r="B75" s="4"/>
      <c r="C75" s="4"/>
      <c r="D75" s="3"/>
      <c r="E75" s="3"/>
      <c r="F75" s="3"/>
      <c r="G75" s="3"/>
      <c r="H75" s="3"/>
      <c r="I75" s="3"/>
      <c r="J75" s="3"/>
      <c r="K75" s="3"/>
      <c r="L75" s="3"/>
      <c r="M75" s="3"/>
      <c r="N75" s="3"/>
    </row>
    <row r="76" spans="1:14" ht="12.75">
      <c r="A76" s="7" t="s">
        <v>72</v>
      </c>
      <c r="B76" s="4">
        <v>2000</v>
      </c>
      <c r="C76" s="4" t="s">
        <v>28</v>
      </c>
      <c r="D76" s="3"/>
      <c r="E76" s="3"/>
      <c r="F76" s="3"/>
      <c r="G76" s="3" t="s">
        <v>28</v>
      </c>
      <c r="H76" s="3"/>
      <c r="I76" s="49">
        <f>(0.129*1500)</f>
        <v>193.5</v>
      </c>
      <c r="J76" s="49"/>
      <c r="K76" s="3"/>
      <c r="L76" s="3"/>
      <c r="M76" s="3"/>
      <c r="N76" s="3"/>
    </row>
    <row r="77" spans="1:14" ht="12.75">
      <c r="A77" s="17" t="s">
        <v>157</v>
      </c>
      <c r="B77" s="4" t="s">
        <v>28</v>
      </c>
      <c r="C77" s="11" t="s">
        <v>74</v>
      </c>
      <c r="D77" s="3">
        <v>0</v>
      </c>
      <c r="E77" s="3" t="s">
        <v>28</v>
      </c>
      <c r="F77" s="3">
        <f>560*12</f>
        <v>6720</v>
      </c>
      <c r="G77" s="3" t="s">
        <v>28</v>
      </c>
      <c r="H77" s="3">
        <v>0</v>
      </c>
      <c r="I77" s="49">
        <v>0</v>
      </c>
      <c r="J77" s="49"/>
      <c r="K77" s="3"/>
      <c r="L77" s="3"/>
      <c r="M77" s="3"/>
      <c r="N77" s="3"/>
    </row>
    <row r="78" spans="1:14" ht="12.75">
      <c r="A78" s="2" t="s">
        <v>214</v>
      </c>
      <c r="B78" s="4"/>
      <c r="C78" s="11"/>
      <c r="D78" s="3"/>
      <c r="E78" s="3"/>
      <c r="F78" s="3"/>
      <c r="G78" s="3"/>
      <c r="H78" s="3"/>
      <c r="I78" s="50">
        <v>2462.88</v>
      </c>
      <c r="J78" s="51"/>
      <c r="L78" s="3"/>
      <c r="M78" s="3"/>
      <c r="N78" s="3"/>
    </row>
    <row r="79" spans="1:14" ht="12.75">
      <c r="A79" s="2" t="s">
        <v>215</v>
      </c>
      <c r="B79" s="4"/>
      <c r="C79" s="11"/>
      <c r="D79" s="3"/>
      <c r="E79" s="3"/>
      <c r="F79" s="3"/>
      <c r="G79" s="3"/>
      <c r="H79" s="3"/>
      <c r="I79" s="50">
        <v>2672.88</v>
      </c>
      <c r="J79" s="52"/>
      <c r="L79" s="3"/>
      <c r="M79" s="3"/>
      <c r="N79" s="3"/>
    </row>
    <row r="81" ht="15.75">
      <c r="A81" s="33" t="s">
        <v>112</v>
      </c>
    </row>
    <row r="82" spans="1:14" ht="38.25">
      <c r="A82" s="17" t="s">
        <v>158</v>
      </c>
      <c r="B82" s="4">
        <v>180</v>
      </c>
      <c r="C82" s="3">
        <v>500</v>
      </c>
      <c r="D82" s="7" t="s">
        <v>85</v>
      </c>
      <c r="E82" s="3">
        <v>15000</v>
      </c>
      <c r="F82" s="3" t="s">
        <v>28</v>
      </c>
      <c r="G82" t="s">
        <v>28</v>
      </c>
      <c r="H82" s="3" t="s">
        <v>28</v>
      </c>
      <c r="I82" s="3" t="s">
        <v>28</v>
      </c>
      <c r="J82" s="3"/>
      <c r="K82" s="3"/>
      <c r="L82" s="3"/>
      <c r="M82" s="3"/>
      <c r="N82" s="3"/>
    </row>
    <row r="83" spans="2:14" ht="12.75">
      <c r="B83" s="4"/>
      <c r="C83" s="3"/>
      <c r="D83" s="3"/>
      <c r="E83" s="3"/>
      <c r="F83" s="3"/>
      <c r="G83" s="14"/>
      <c r="H83" s="3"/>
      <c r="I83" s="3"/>
      <c r="J83" s="3"/>
      <c r="K83" s="3"/>
      <c r="L83" s="3"/>
      <c r="M83" s="3"/>
      <c r="N83" s="3"/>
    </row>
    <row r="84" spans="1:14" ht="12.75">
      <c r="A84" t="s">
        <v>78</v>
      </c>
      <c r="B84" s="3" t="s">
        <v>28</v>
      </c>
      <c r="C84" s="3" t="s">
        <v>28</v>
      </c>
      <c r="D84" s="3">
        <f>945*12</f>
        <v>11340</v>
      </c>
      <c r="E84" s="3" t="s">
        <v>28</v>
      </c>
      <c r="F84" s="3" t="s">
        <v>28</v>
      </c>
      <c r="G84" s="14" t="s">
        <v>28</v>
      </c>
      <c r="H84" s="3" t="s">
        <v>28</v>
      </c>
      <c r="I84" s="3" t="s">
        <v>28</v>
      </c>
      <c r="J84" s="3"/>
      <c r="K84" s="3"/>
      <c r="L84" s="3"/>
      <c r="M84" s="3"/>
      <c r="N84" s="3"/>
    </row>
    <row r="85" spans="1:14" ht="12.75">
      <c r="A85" s="16" t="s">
        <v>66</v>
      </c>
      <c r="B85" s="3">
        <f>SUM(B53:B65)+B70+B76+B82</f>
        <v>21190</v>
      </c>
      <c r="C85" s="3">
        <f>SUM(C50,C53:C55,C56:C65,C69:C82)</f>
        <v>40381</v>
      </c>
      <c r="D85" s="3">
        <f>SUM(D51,D53:D55,D56:D65,D77,D69:D71,D84)</f>
        <v>46097</v>
      </c>
      <c r="E85" s="3">
        <f>SUM(E51,E53:E55,E56:E65,E69:E71,E84,E82)</f>
        <v>56479</v>
      </c>
      <c r="F85" s="3">
        <f>SUM(F41,F43,F51,F53:F77)</f>
        <v>103107</v>
      </c>
      <c r="G85" s="3"/>
      <c r="H85" s="3">
        <f>SUM(H53:H77)</f>
        <v>66950</v>
      </c>
      <c r="I85" s="3">
        <v>44935</v>
      </c>
      <c r="J85" s="3"/>
      <c r="K85" s="3"/>
      <c r="L85" s="3"/>
      <c r="M85" s="3"/>
      <c r="N85" s="3"/>
    </row>
    <row r="86" spans="1:14" ht="12.75">
      <c r="A86" s="8"/>
      <c r="B86" s="3"/>
      <c r="C86" s="3"/>
      <c r="D86" s="3"/>
      <c r="E86" s="3"/>
      <c r="F86" s="3"/>
      <c r="G86" s="3"/>
      <c r="H86" s="3"/>
      <c r="I86" s="3"/>
      <c r="J86" s="3"/>
      <c r="K86" s="3"/>
      <c r="L86" s="3"/>
      <c r="M86" s="3"/>
      <c r="N86" s="3"/>
    </row>
    <row r="87" spans="1:14" ht="12.75">
      <c r="A87" s="16" t="s">
        <v>71</v>
      </c>
      <c r="B87" s="6">
        <f>B35-B85</f>
        <v>588.2000000000007</v>
      </c>
      <c r="C87" s="6">
        <f>39087-C85</f>
        <v>-1294</v>
      </c>
      <c r="D87" s="6">
        <f>D35-D85</f>
        <v>-2</v>
      </c>
      <c r="E87" s="6">
        <f>E35-E85</f>
        <v>4052.5</v>
      </c>
      <c r="F87" s="6">
        <f>F35-F85</f>
        <v>4695.5</v>
      </c>
      <c r="G87" s="6"/>
      <c r="H87" s="6">
        <f>H35-H85</f>
        <v>3741</v>
      </c>
      <c r="I87" s="6">
        <v>-4488</v>
      </c>
      <c r="J87" s="3"/>
      <c r="K87" s="3"/>
      <c r="L87" s="3"/>
      <c r="M87" s="3"/>
      <c r="N87" s="3"/>
    </row>
    <row r="88" spans="1:14" ht="12.75">
      <c r="A88" s="8"/>
      <c r="B88" s="3"/>
      <c r="C88" s="3"/>
      <c r="D88" s="3"/>
      <c r="E88" s="3"/>
      <c r="F88" s="3"/>
      <c r="G88" s="3"/>
      <c r="H88" s="3"/>
      <c r="I88" s="3"/>
      <c r="J88" s="3"/>
      <c r="K88" s="3"/>
      <c r="L88" s="3"/>
      <c r="M88" s="3"/>
      <c r="N88" s="3"/>
    </row>
    <row r="89" spans="1:14" ht="12.75">
      <c r="A89" s="8"/>
      <c r="B89" s="3"/>
      <c r="C89" s="3"/>
      <c r="D89" s="3"/>
      <c r="E89" s="3"/>
      <c r="F89" s="3"/>
      <c r="G89" s="3"/>
      <c r="H89" s="3"/>
      <c r="I89" s="3"/>
      <c r="J89" s="3"/>
      <c r="K89" s="3"/>
      <c r="L89" s="3"/>
      <c r="M89" s="3"/>
      <c r="N89" s="3"/>
    </row>
    <row r="90" spans="1:14" ht="15.75">
      <c r="A90" s="33" t="s">
        <v>113</v>
      </c>
      <c r="B90" s="3"/>
      <c r="C90" s="3"/>
      <c r="D90" s="3"/>
      <c r="E90" s="3"/>
      <c r="F90" s="3"/>
      <c r="G90" s="3"/>
      <c r="H90" s="3"/>
      <c r="I90" s="3"/>
      <c r="J90" s="3"/>
      <c r="K90" s="3"/>
      <c r="L90" s="3"/>
      <c r="M90" s="3"/>
      <c r="N90" s="3"/>
    </row>
    <row r="91" spans="1:14" ht="12.75">
      <c r="A91" t="s">
        <v>102</v>
      </c>
      <c r="B91" s="3">
        <f>+B87</f>
        <v>588.2000000000007</v>
      </c>
      <c r="C91" s="3">
        <f>500+2000</f>
        <v>2500</v>
      </c>
      <c r="D91" s="3">
        <f>1000+5000</f>
        <v>6000</v>
      </c>
      <c r="E91" s="3">
        <v>5100</v>
      </c>
      <c r="F91" s="3">
        <f>5000+20000</f>
        <v>25000</v>
      </c>
      <c r="G91" t="s">
        <v>200</v>
      </c>
      <c r="H91" s="3">
        <v>50000</v>
      </c>
      <c r="I91" s="3">
        <v>4500</v>
      </c>
      <c r="J91" s="3"/>
      <c r="K91" s="3"/>
      <c r="L91" s="3"/>
      <c r="M91" s="3"/>
      <c r="N91" s="3"/>
    </row>
    <row r="92" spans="1:14" ht="12.75">
      <c r="A92" t="s">
        <v>22</v>
      </c>
      <c r="B92" s="3"/>
      <c r="C92" s="3"/>
      <c r="D92" s="3" t="s">
        <v>28</v>
      </c>
      <c r="E92" s="3">
        <f>75000+60000</f>
        <v>135000</v>
      </c>
      <c r="F92">
        <v>0</v>
      </c>
      <c r="G92" t="s">
        <v>200</v>
      </c>
      <c r="H92" s="3">
        <v>600000</v>
      </c>
      <c r="I92" s="3" t="s">
        <v>28</v>
      </c>
      <c r="J92" s="3"/>
      <c r="K92" s="3"/>
      <c r="L92" s="3"/>
      <c r="M92" s="3"/>
      <c r="N92" s="3"/>
    </row>
    <row r="93" spans="1:14" ht="12.75">
      <c r="A93" t="s">
        <v>170</v>
      </c>
      <c r="B93" s="3"/>
      <c r="C93" s="3"/>
      <c r="D93" s="3"/>
      <c r="E93" s="3"/>
      <c r="G93" t="s">
        <v>200</v>
      </c>
      <c r="H93" s="3"/>
      <c r="I93" s="3" t="s">
        <v>28</v>
      </c>
      <c r="J93" s="3"/>
      <c r="K93" s="3"/>
      <c r="L93" s="3"/>
      <c r="M93" s="3"/>
      <c r="N93" s="3"/>
    </row>
    <row r="94" spans="1:14" ht="12.75">
      <c r="A94" t="s">
        <v>164</v>
      </c>
      <c r="B94" s="3"/>
      <c r="C94" s="3"/>
      <c r="D94" s="3"/>
      <c r="E94" s="3"/>
      <c r="G94" s="17" t="s">
        <v>166</v>
      </c>
      <c r="H94" s="3"/>
      <c r="I94" s="3" t="s">
        <v>28</v>
      </c>
      <c r="J94" s="3"/>
      <c r="K94" s="3"/>
      <c r="L94" s="3"/>
      <c r="M94" s="3"/>
      <c r="N94" s="3"/>
    </row>
    <row r="95" spans="1:14" ht="12.75">
      <c r="A95" t="s">
        <v>165</v>
      </c>
      <c r="B95" s="3"/>
      <c r="C95" s="3"/>
      <c r="D95" s="3"/>
      <c r="E95" s="3"/>
      <c r="G95" s="3">
        <v>1000000</v>
      </c>
      <c r="H95" s="3"/>
      <c r="I95" s="3" t="s">
        <v>28</v>
      </c>
      <c r="J95" s="3"/>
      <c r="K95" s="3"/>
      <c r="L95" s="3"/>
      <c r="M95" s="3"/>
      <c r="N95" s="3"/>
    </row>
    <row r="96" spans="1:14" ht="12.75">
      <c r="A96" t="s">
        <v>13</v>
      </c>
      <c r="B96" s="3"/>
      <c r="C96" s="3"/>
      <c r="D96" s="3">
        <v>268000</v>
      </c>
      <c r="E96" s="3">
        <v>350000</v>
      </c>
      <c r="F96" s="3">
        <v>310000</v>
      </c>
      <c r="G96" s="3">
        <v>1800000</v>
      </c>
      <c r="H96" s="3">
        <v>250000</v>
      </c>
      <c r="I96" s="3">
        <v>0</v>
      </c>
      <c r="J96" s="3"/>
      <c r="K96" s="3"/>
      <c r="L96" s="3"/>
      <c r="M96" s="3"/>
      <c r="N96" s="3"/>
    </row>
    <row r="97" spans="1:14" ht="12.75">
      <c r="A97" t="s">
        <v>19</v>
      </c>
      <c r="B97" s="3"/>
      <c r="C97" s="3">
        <v>5000</v>
      </c>
      <c r="D97" s="3">
        <v>25000</v>
      </c>
      <c r="E97" s="3">
        <v>15000</v>
      </c>
      <c r="F97" s="3">
        <v>45000</v>
      </c>
      <c r="G97" s="3">
        <f>9400+27300+4500</f>
        <v>41200</v>
      </c>
      <c r="H97" s="3">
        <v>35000</v>
      </c>
      <c r="I97" s="3">
        <v>8055</v>
      </c>
      <c r="J97" s="3"/>
      <c r="K97" s="3"/>
      <c r="L97" s="3"/>
      <c r="M97" s="3"/>
      <c r="N97" s="3"/>
    </row>
    <row r="98" spans="1:14" ht="12.75">
      <c r="A98" s="17" t="s">
        <v>118</v>
      </c>
      <c r="B98" s="3"/>
      <c r="C98" s="3"/>
      <c r="D98" s="3" t="s">
        <v>28</v>
      </c>
      <c r="E98" s="3">
        <v>500000</v>
      </c>
      <c r="F98" s="3">
        <v>200000</v>
      </c>
      <c r="G98" s="3" t="s">
        <v>28</v>
      </c>
      <c r="H98" s="3" t="s">
        <v>40</v>
      </c>
      <c r="I98" s="3" t="s">
        <v>28</v>
      </c>
      <c r="J98" s="3"/>
      <c r="K98" s="3"/>
      <c r="L98" s="3"/>
      <c r="M98" s="3"/>
      <c r="N98" s="3"/>
    </row>
    <row r="99" spans="1:14" ht="12.75">
      <c r="A99" t="s">
        <v>15</v>
      </c>
      <c r="B99" s="3">
        <f>+B42*2</f>
        <v>2080</v>
      </c>
      <c r="C99" s="3"/>
      <c r="D99" s="3">
        <v>60000</v>
      </c>
      <c r="E99" s="3">
        <v>0</v>
      </c>
      <c r="F99" s="3">
        <f>50000+75000</f>
        <v>125000</v>
      </c>
      <c r="G99" s="3">
        <f>+'401k Calculations for #6'!H22+'401k Calculations for #6'!N22</f>
        <v>375000</v>
      </c>
      <c r="H99" s="3">
        <v>125000</v>
      </c>
      <c r="I99" s="49">
        <v>19328</v>
      </c>
      <c r="J99" s="3"/>
      <c r="K99" s="3"/>
      <c r="L99" s="3"/>
      <c r="M99" s="3"/>
      <c r="N99" s="3"/>
    </row>
    <row r="100" spans="1:14" ht="12.75">
      <c r="A100" s="17" t="s">
        <v>119</v>
      </c>
      <c r="B100" s="171" t="s">
        <v>374</v>
      </c>
      <c r="C100" s="3"/>
      <c r="D100" s="3">
        <v>0</v>
      </c>
      <c r="E100" s="3">
        <v>0</v>
      </c>
      <c r="F100" s="3">
        <f>24000+16000</f>
        <v>40000</v>
      </c>
      <c r="G100" s="3">
        <f>+'401k Calculations for #6'!F22+'401k Calculations for #6'!K22</f>
        <v>66000</v>
      </c>
      <c r="H100" s="3">
        <v>60000</v>
      </c>
      <c r="I100">
        <v>0</v>
      </c>
      <c r="J100" s="3"/>
      <c r="K100" s="3"/>
      <c r="L100" s="3"/>
      <c r="M100" s="3"/>
      <c r="N100" s="3"/>
    </row>
    <row r="101" spans="1:14" ht="12.75">
      <c r="A101" s="17" t="s">
        <v>171</v>
      </c>
      <c r="B101" s="3"/>
      <c r="C101" s="3"/>
      <c r="D101" s="3"/>
      <c r="E101" s="3"/>
      <c r="F101" s="3"/>
      <c r="G101" s="3" t="s">
        <v>28</v>
      </c>
      <c r="H101" s="3"/>
      <c r="I101" s="3" t="s">
        <v>28</v>
      </c>
      <c r="J101" s="3"/>
      <c r="K101" s="3"/>
      <c r="L101" s="3"/>
      <c r="M101" s="3"/>
      <c r="N101" s="3"/>
    </row>
    <row r="102" spans="2:14" ht="12.75">
      <c r="B102" s="3"/>
      <c r="C102" s="3"/>
      <c r="D102" s="3"/>
      <c r="E102" s="3"/>
      <c r="F102" s="3"/>
      <c r="G102" s="3"/>
      <c r="H102" s="3"/>
      <c r="I102" s="3"/>
      <c r="J102" s="3"/>
      <c r="K102" s="3"/>
      <c r="L102" s="3"/>
      <c r="M102" s="3"/>
      <c r="N102" s="3"/>
    </row>
    <row r="103" spans="1:14" ht="15.75">
      <c r="A103" s="39" t="s">
        <v>114</v>
      </c>
      <c r="B103" s="3"/>
      <c r="C103" s="3"/>
      <c r="D103" s="3"/>
      <c r="E103" s="3"/>
      <c r="F103" s="3"/>
      <c r="G103" s="3"/>
      <c r="H103" s="3"/>
      <c r="I103" s="3"/>
      <c r="J103" s="3"/>
      <c r="K103" s="3"/>
      <c r="L103" s="3"/>
      <c r="M103" s="3"/>
      <c r="N103" s="3"/>
    </row>
    <row r="104" spans="1:14" ht="12.75">
      <c r="A104" t="s">
        <v>16</v>
      </c>
      <c r="B104" s="3" t="s">
        <v>28</v>
      </c>
      <c r="C104" s="10">
        <v>0</v>
      </c>
      <c r="D104" s="3">
        <v>5000</v>
      </c>
      <c r="E104" s="3">
        <v>0</v>
      </c>
      <c r="F104" s="3">
        <v>10000</v>
      </c>
      <c r="G104" s="3" t="s">
        <v>28</v>
      </c>
      <c r="H104" s="3">
        <v>0</v>
      </c>
      <c r="I104" s="3" t="s">
        <v>28</v>
      </c>
      <c r="J104" s="3"/>
      <c r="K104" s="3"/>
      <c r="L104" s="3"/>
      <c r="M104" s="3"/>
      <c r="N104" s="3"/>
    </row>
    <row r="105" spans="1:14" ht="12.75">
      <c r="A105" t="s">
        <v>17</v>
      </c>
      <c r="B105" s="3">
        <v>0</v>
      </c>
      <c r="C105" s="3">
        <v>0</v>
      </c>
      <c r="D105" s="3">
        <v>55000</v>
      </c>
      <c r="E105" s="3">
        <v>105000</v>
      </c>
      <c r="F105" s="3">
        <v>100000</v>
      </c>
      <c r="G105" s="3">
        <v>622000</v>
      </c>
      <c r="H105" s="3">
        <v>0</v>
      </c>
      <c r="I105" s="3">
        <v>0</v>
      </c>
      <c r="J105" s="13"/>
      <c r="K105" s="3"/>
      <c r="L105" s="3"/>
      <c r="M105" s="3"/>
      <c r="N105" s="3"/>
    </row>
    <row r="106" spans="1:14" ht="12.75">
      <c r="A106" t="s">
        <v>259</v>
      </c>
      <c r="B106" s="3"/>
      <c r="C106" s="3"/>
      <c r="D106" s="3"/>
      <c r="E106" s="3"/>
      <c r="F106" s="3"/>
      <c r="G106" s="3"/>
      <c r="H106" s="3"/>
      <c r="I106" s="49">
        <v>1500</v>
      </c>
      <c r="J106" s="13"/>
      <c r="K106" s="3"/>
      <c r="L106" s="3"/>
      <c r="M106" s="3"/>
      <c r="N106" s="3"/>
    </row>
    <row r="107" spans="1:14" ht="12.75">
      <c r="A107" t="s">
        <v>184</v>
      </c>
      <c r="B107" s="3"/>
      <c r="C107" s="3"/>
      <c r="D107" s="3"/>
      <c r="E107" s="3"/>
      <c r="F107" s="3"/>
      <c r="G107" s="3" t="s">
        <v>28</v>
      </c>
      <c r="H107" s="3"/>
      <c r="I107" s="50">
        <v>36464</v>
      </c>
      <c r="J107" s="13"/>
      <c r="K107" s="3"/>
      <c r="L107" s="3"/>
      <c r="M107" s="3"/>
      <c r="N107" s="3"/>
    </row>
    <row r="108" spans="1:14" ht="12.75">
      <c r="A108" t="s">
        <v>185</v>
      </c>
      <c r="B108" s="3"/>
      <c r="C108" s="3"/>
      <c r="D108" s="3"/>
      <c r="E108" s="3"/>
      <c r="F108" s="3"/>
      <c r="G108" s="3" t="s">
        <v>28</v>
      </c>
      <c r="H108" s="3"/>
      <c r="I108" t="s">
        <v>28</v>
      </c>
      <c r="J108" s="13"/>
      <c r="K108" s="3"/>
      <c r="L108" s="3"/>
      <c r="M108" s="3"/>
      <c r="N108" s="3"/>
    </row>
    <row r="109" spans="1:14" ht="12.75">
      <c r="A109" t="s">
        <v>186</v>
      </c>
      <c r="B109" s="3"/>
      <c r="C109" s="3"/>
      <c r="D109" s="3"/>
      <c r="E109" s="3"/>
      <c r="F109" s="3"/>
      <c r="G109" s="3" t="s">
        <v>28</v>
      </c>
      <c r="H109" s="3"/>
      <c r="I109" t="s">
        <v>28</v>
      </c>
      <c r="J109" s="13"/>
      <c r="K109" s="3"/>
      <c r="L109" s="3"/>
      <c r="M109" s="3"/>
      <c r="N109" s="3"/>
    </row>
    <row r="110" spans="1:14" ht="12.75">
      <c r="A110" t="s">
        <v>5</v>
      </c>
      <c r="B110" s="3" t="s">
        <v>28</v>
      </c>
      <c r="C110" s="3" t="s">
        <v>28</v>
      </c>
      <c r="D110" s="13">
        <v>0.06</v>
      </c>
      <c r="E110" s="13">
        <v>0.06</v>
      </c>
      <c r="F110" s="13">
        <v>0.06</v>
      </c>
      <c r="G110" s="13">
        <v>0.0465</v>
      </c>
      <c r="H110" s="3"/>
      <c r="I110" t="s">
        <v>28</v>
      </c>
      <c r="J110" s="3"/>
      <c r="K110" s="3"/>
      <c r="L110" s="3"/>
      <c r="M110" s="3"/>
      <c r="N110" s="3"/>
    </row>
    <row r="111" spans="1:14" ht="12.75">
      <c r="A111" t="s">
        <v>6</v>
      </c>
      <c r="B111" s="3" t="s">
        <v>28</v>
      </c>
      <c r="C111" s="3" t="s">
        <v>28</v>
      </c>
      <c r="D111" s="3">
        <v>20</v>
      </c>
      <c r="E111" s="3">
        <v>30</v>
      </c>
      <c r="F111" s="3">
        <v>20</v>
      </c>
      <c r="G111" s="3">
        <v>12</v>
      </c>
      <c r="H111" s="3"/>
      <c r="I111" t="s">
        <v>28</v>
      </c>
      <c r="J111" s="3"/>
      <c r="K111" s="3"/>
      <c r="L111" s="3"/>
      <c r="M111" s="3"/>
      <c r="N111" s="3"/>
    </row>
    <row r="112" spans="1:14" ht="12.75">
      <c r="A112" t="s">
        <v>190</v>
      </c>
      <c r="B112" s="3"/>
      <c r="C112" s="3"/>
      <c r="D112" s="3"/>
      <c r="E112" s="3"/>
      <c r="F112" s="3"/>
      <c r="G112" s="3">
        <v>750000</v>
      </c>
      <c r="H112" s="3"/>
      <c r="I112" t="s">
        <v>28</v>
      </c>
      <c r="J112" s="3"/>
      <c r="K112" s="3"/>
      <c r="L112" s="3"/>
      <c r="M112" s="3"/>
      <c r="N112" s="3"/>
    </row>
    <row r="113" spans="1:14" ht="12.75">
      <c r="A113" s="17" t="s">
        <v>191</v>
      </c>
      <c r="B113" s="3" t="s">
        <v>28</v>
      </c>
      <c r="C113" s="3" t="s">
        <v>28</v>
      </c>
      <c r="D113" s="3">
        <v>13000</v>
      </c>
      <c r="E113" s="3" t="s">
        <v>28</v>
      </c>
      <c r="F113" s="3" t="s">
        <v>28</v>
      </c>
      <c r="G113" s="3">
        <v>0</v>
      </c>
      <c r="H113" s="3">
        <v>0</v>
      </c>
      <c r="I113" t="s">
        <v>28</v>
      </c>
      <c r="J113" s="3"/>
      <c r="K113" s="3"/>
      <c r="L113" s="3"/>
      <c r="M113" s="3"/>
      <c r="N113" s="3"/>
    </row>
    <row r="114" spans="1:14" ht="12.75">
      <c r="A114" t="s">
        <v>7</v>
      </c>
      <c r="B114" s="3" t="s">
        <v>28</v>
      </c>
      <c r="C114" s="3" t="s">
        <v>28</v>
      </c>
      <c r="D114" s="13">
        <v>0.0704</v>
      </c>
      <c r="E114" s="3" t="s">
        <v>28</v>
      </c>
      <c r="F114" s="3" t="s">
        <v>28</v>
      </c>
      <c r="G114" s="13">
        <v>0.065</v>
      </c>
      <c r="H114" s="3"/>
      <c r="I114" t="s">
        <v>28</v>
      </c>
      <c r="J114" s="3"/>
      <c r="K114" s="3"/>
      <c r="L114" s="3"/>
      <c r="M114" s="3"/>
      <c r="N114" s="3"/>
    </row>
    <row r="115" spans="2:14" ht="12.75">
      <c r="B115" s="3"/>
      <c r="C115" s="3"/>
      <c r="D115" s="13"/>
      <c r="E115" s="3"/>
      <c r="F115" s="3"/>
      <c r="G115" s="3"/>
      <c r="H115" s="3"/>
      <c r="I115" s="3"/>
      <c r="J115" s="3"/>
      <c r="K115" s="3"/>
      <c r="L115" s="3"/>
      <c r="M115" s="3"/>
      <c r="N115" s="3"/>
    </row>
    <row r="116" spans="2:14" ht="12.75">
      <c r="B116" s="3"/>
      <c r="C116" s="3"/>
      <c r="D116" s="13"/>
      <c r="E116" s="3"/>
      <c r="F116" s="3"/>
      <c r="G116" s="3"/>
      <c r="H116" s="3"/>
      <c r="I116" s="3"/>
      <c r="J116" s="3"/>
      <c r="K116" s="3"/>
      <c r="L116" s="3"/>
      <c r="M116" s="3"/>
      <c r="N116" s="3"/>
    </row>
    <row r="117" spans="1:14" ht="12.75">
      <c r="A117" s="8" t="s">
        <v>117</v>
      </c>
      <c r="B117" s="3"/>
      <c r="C117" s="3"/>
      <c r="D117" s="13"/>
      <c r="E117" s="3"/>
      <c r="F117" s="3"/>
      <c r="G117" s="3"/>
      <c r="H117" s="3"/>
      <c r="I117" s="87">
        <v>-4581</v>
      </c>
      <c r="J117" s="3"/>
      <c r="K117" s="3"/>
      <c r="L117" s="3"/>
      <c r="M117" s="3"/>
      <c r="N117" s="3"/>
    </row>
    <row r="118" spans="2:14" ht="12.75">
      <c r="B118" s="3"/>
      <c r="C118" s="3"/>
      <c r="D118" s="13"/>
      <c r="E118" s="3"/>
      <c r="F118" s="3"/>
      <c r="G118" s="3"/>
      <c r="H118" s="3"/>
      <c r="I118" s="3"/>
      <c r="J118" s="3"/>
      <c r="K118" s="3"/>
      <c r="L118" s="3"/>
      <c r="M118" s="3"/>
      <c r="N118" s="3"/>
    </row>
    <row r="119" spans="1:14" ht="15.75">
      <c r="A119" s="33" t="s">
        <v>115</v>
      </c>
      <c r="B119" s="3"/>
      <c r="C119" s="3"/>
      <c r="D119" s="3"/>
      <c r="E119" s="3"/>
      <c r="F119" s="3"/>
      <c r="G119" s="3"/>
      <c r="H119" s="3"/>
      <c r="I119" s="3"/>
      <c r="J119" s="3"/>
      <c r="K119" s="3"/>
      <c r="L119" s="3"/>
      <c r="M119" s="3"/>
      <c r="N119" s="3"/>
    </row>
    <row r="120" spans="1:9" ht="12.75">
      <c r="A120" t="s">
        <v>91</v>
      </c>
      <c r="B120" s="15">
        <v>0.22</v>
      </c>
      <c r="C120" s="15">
        <f>0</f>
        <v>0</v>
      </c>
      <c r="D120" s="15">
        <v>0.25</v>
      </c>
      <c r="E120" s="15">
        <v>0.28</v>
      </c>
      <c r="F120" s="15">
        <v>0.25</v>
      </c>
      <c r="G120" s="15">
        <v>0.35</v>
      </c>
      <c r="H120" s="15">
        <v>0.25</v>
      </c>
      <c r="I120" s="15">
        <v>0.25</v>
      </c>
    </row>
    <row r="121" spans="1:9" ht="12.75">
      <c r="A121" s="17" t="s">
        <v>120</v>
      </c>
      <c r="B121" s="15">
        <v>0</v>
      </c>
      <c r="C121" s="15">
        <v>0</v>
      </c>
      <c r="D121" s="15">
        <v>0.03</v>
      </c>
      <c r="E121" s="13">
        <v>0.093</v>
      </c>
      <c r="F121" s="15">
        <v>0</v>
      </c>
      <c r="G121" s="15">
        <v>0.05</v>
      </c>
      <c r="H121" s="15">
        <v>0.0374</v>
      </c>
      <c r="I121" s="15">
        <v>0.053</v>
      </c>
    </row>
    <row r="122" spans="1:9" ht="12.75">
      <c r="A122" s="17" t="s">
        <v>121</v>
      </c>
      <c r="B122" s="88" t="s">
        <v>28</v>
      </c>
      <c r="C122" s="88" t="s">
        <v>28</v>
      </c>
      <c r="D122" s="88" t="s">
        <v>28</v>
      </c>
      <c r="E122" s="88" t="s">
        <v>28</v>
      </c>
      <c r="F122" s="88" t="s">
        <v>28</v>
      </c>
      <c r="G122" s="15">
        <v>0.0685</v>
      </c>
      <c r="H122" s="162" t="s">
        <v>28</v>
      </c>
      <c r="I122" s="88" t="s">
        <v>28</v>
      </c>
    </row>
    <row r="123" spans="1:9" ht="12.75">
      <c r="A123" t="s">
        <v>92</v>
      </c>
      <c r="B123" s="88" t="s">
        <v>28</v>
      </c>
      <c r="C123" s="88" t="s">
        <v>28</v>
      </c>
      <c r="D123" s="88" t="s">
        <v>28</v>
      </c>
      <c r="E123" s="88" t="s">
        <v>28</v>
      </c>
      <c r="F123" s="88" t="s">
        <v>28</v>
      </c>
      <c r="G123" s="163" t="s">
        <v>28</v>
      </c>
      <c r="H123" s="88" t="s">
        <v>28</v>
      </c>
      <c r="I123" s="88" t="s">
        <v>28</v>
      </c>
    </row>
    <row r="124" spans="1:9" ht="12.75">
      <c r="A124" s="167" t="s">
        <v>364</v>
      </c>
      <c r="B124" s="168">
        <v>0.22</v>
      </c>
      <c r="C124" s="168">
        <v>0</v>
      </c>
      <c r="D124" s="168">
        <f aca="true" t="shared" si="1" ref="D124:I124">SUM(D120:D122)</f>
        <v>0.28</v>
      </c>
      <c r="E124" s="168">
        <f t="shared" si="1"/>
        <v>0.373</v>
      </c>
      <c r="F124" s="168">
        <f t="shared" si="1"/>
        <v>0.25</v>
      </c>
      <c r="G124" s="168">
        <f t="shared" si="1"/>
        <v>0.46849999999999997</v>
      </c>
      <c r="H124" s="168">
        <f t="shared" si="1"/>
        <v>0.2874</v>
      </c>
      <c r="I124" s="168">
        <f t="shared" si="1"/>
        <v>0.303</v>
      </c>
    </row>
    <row r="125" spans="1:9" ht="12.75">
      <c r="A125" t="s">
        <v>371</v>
      </c>
      <c r="B125" s="13">
        <v>0.062</v>
      </c>
      <c r="C125" s="13">
        <v>0.062</v>
      </c>
      <c r="D125" s="13">
        <v>0.062</v>
      </c>
      <c r="E125" s="13">
        <v>0.062</v>
      </c>
      <c r="F125" s="13">
        <v>0</v>
      </c>
      <c r="G125" s="13">
        <v>0</v>
      </c>
      <c r="H125" s="13">
        <v>0</v>
      </c>
      <c r="I125" s="13">
        <v>0.062</v>
      </c>
    </row>
    <row r="126" spans="1:9" ht="12.75">
      <c r="A126" t="s">
        <v>372</v>
      </c>
      <c r="B126" s="13">
        <v>0.0145</v>
      </c>
      <c r="C126" s="13">
        <v>0.0145</v>
      </c>
      <c r="D126" s="13">
        <v>0.0145</v>
      </c>
      <c r="E126" s="13">
        <v>0.0145</v>
      </c>
      <c r="F126" s="13">
        <v>0.0145</v>
      </c>
      <c r="G126" s="13">
        <v>0.0145</v>
      </c>
      <c r="H126" s="13">
        <v>0</v>
      </c>
      <c r="I126" s="13">
        <v>0.0145</v>
      </c>
    </row>
    <row r="127" spans="4:9" ht="12.75">
      <c r="D127" s="15"/>
      <c r="E127" s="15"/>
      <c r="F127" s="15"/>
      <c r="G127" s="3"/>
      <c r="H127" s="15"/>
      <c r="I127" s="26"/>
    </row>
    <row r="128" spans="1:9" ht="12.75">
      <c r="A128" s="164" t="s">
        <v>376</v>
      </c>
      <c r="B128" s="13"/>
      <c r="C128" s="13"/>
      <c r="D128" s="13"/>
      <c r="E128" s="13"/>
      <c r="F128" s="13"/>
      <c r="G128" s="13"/>
      <c r="H128" s="13"/>
      <c r="I128" s="13"/>
    </row>
    <row r="129" spans="1:9" ht="12.75">
      <c r="A129" s="165" t="s">
        <v>365</v>
      </c>
      <c r="B129" s="15">
        <f>+B124+B125+B126</f>
        <v>0.29650000000000004</v>
      </c>
      <c r="C129" s="15">
        <f aca="true" t="shared" si="2" ref="C129:I129">+C124+C125+C126</f>
        <v>0.0765</v>
      </c>
      <c r="D129" s="15">
        <f t="shared" si="2"/>
        <v>0.35650000000000004</v>
      </c>
      <c r="E129" s="15">
        <f t="shared" si="2"/>
        <v>0.4495</v>
      </c>
      <c r="F129" s="15">
        <f t="shared" si="2"/>
        <v>0.2645</v>
      </c>
      <c r="G129" s="15">
        <f t="shared" si="2"/>
        <v>0.483</v>
      </c>
      <c r="H129" s="15">
        <f t="shared" si="2"/>
        <v>0.2874</v>
      </c>
      <c r="I129" s="15">
        <f t="shared" si="2"/>
        <v>0.3795</v>
      </c>
    </row>
    <row r="130" spans="1:9" ht="25.5">
      <c r="A130" s="166" t="s">
        <v>366</v>
      </c>
      <c r="B130" s="15">
        <f aca="true" t="shared" si="3" ref="B130:I130">+B124</f>
        <v>0.22</v>
      </c>
      <c r="C130" s="15">
        <f t="shared" si="3"/>
        <v>0</v>
      </c>
      <c r="D130" s="15">
        <f t="shared" si="3"/>
        <v>0.28</v>
      </c>
      <c r="E130" s="15">
        <f t="shared" si="3"/>
        <v>0.373</v>
      </c>
      <c r="F130" s="15">
        <f t="shared" si="3"/>
        <v>0.25</v>
      </c>
      <c r="G130" s="15">
        <f t="shared" si="3"/>
        <v>0.46849999999999997</v>
      </c>
      <c r="H130" s="15">
        <f t="shared" si="3"/>
        <v>0.2874</v>
      </c>
      <c r="I130" s="15">
        <f t="shared" si="3"/>
        <v>0.303</v>
      </c>
    </row>
    <row r="131" spans="1:9" ht="25.5">
      <c r="A131" s="166" t="s">
        <v>367</v>
      </c>
      <c r="B131" s="15">
        <v>0.05</v>
      </c>
      <c r="C131" s="15">
        <v>0.05</v>
      </c>
      <c r="D131" s="15">
        <v>0.15</v>
      </c>
      <c r="E131" s="15">
        <v>0.15</v>
      </c>
      <c r="F131" s="15">
        <v>0.15</v>
      </c>
      <c r="G131" s="15">
        <v>0.15</v>
      </c>
      <c r="H131" s="15">
        <v>0.15</v>
      </c>
      <c r="I131" s="15">
        <v>0.15</v>
      </c>
    </row>
    <row r="132" ht="12.75">
      <c r="G132" s="3"/>
    </row>
    <row r="133" spans="1:9" ht="12.75">
      <c r="A133" t="s">
        <v>368</v>
      </c>
      <c r="B133" s="15">
        <v>0.06</v>
      </c>
      <c r="C133" s="15">
        <v>0.05</v>
      </c>
      <c r="D133" s="13">
        <v>0.0625</v>
      </c>
      <c r="E133" s="13">
        <v>0.0625</v>
      </c>
      <c r="F133" s="13">
        <v>0.0625</v>
      </c>
      <c r="G133" s="13">
        <v>0.06</v>
      </c>
      <c r="H133" s="13">
        <v>0.056</v>
      </c>
      <c r="I133" s="13">
        <v>0.05</v>
      </c>
    </row>
    <row r="134" spans="1:9" ht="12.75">
      <c r="A134" t="s">
        <v>369</v>
      </c>
      <c r="B134" s="15">
        <v>0.01</v>
      </c>
      <c r="C134" s="15">
        <v>0</v>
      </c>
      <c r="D134" s="13">
        <v>0.025</v>
      </c>
      <c r="E134" s="13">
        <v>0.01</v>
      </c>
      <c r="F134" s="13">
        <v>0.02</v>
      </c>
      <c r="G134" s="13">
        <v>0</v>
      </c>
      <c r="H134" s="13">
        <v>0.02</v>
      </c>
      <c r="I134" s="13">
        <v>0</v>
      </c>
    </row>
    <row r="135" spans="1:9" ht="12.75">
      <c r="A135" s="8" t="s">
        <v>370</v>
      </c>
      <c r="B135" s="15">
        <v>0.07</v>
      </c>
      <c r="C135" s="15">
        <v>0.05</v>
      </c>
      <c r="D135" s="13">
        <v>0.0875</v>
      </c>
      <c r="E135" s="13">
        <v>0.0725</v>
      </c>
      <c r="F135" s="13">
        <v>0.0825</v>
      </c>
      <c r="G135" s="13">
        <f>SUM(G133:G134)</f>
        <v>0.06</v>
      </c>
      <c r="H135" s="13">
        <v>0.076</v>
      </c>
      <c r="I135" s="13">
        <f>SUM(I133:I134)</f>
        <v>0.05</v>
      </c>
    </row>
    <row r="136" spans="4:9" ht="12.75">
      <c r="D136" s="15"/>
      <c r="E136" s="15"/>
      <c r="F136" s="15"/>
      <c r="G136" s="3"/>
      <c r="H136" s="15"/>
      <c r="I136" s="26"/>
    </row>
    <row r="137" spans="1:9" ht="12.75">
      <c r="A137" t="s">
        <v>373</v>
      </c>
      <c r="B137" s="88" t="s">
        <v>374</v>
      </c>
      <c r="C137" s="88" t="s">
        <v>374</v>
      </c>
      <c r="D137" s="13">
        <v>0.0033</v>
      </c>
      <c r="E137" s="13">
        <v>0.0125</v>
      </c>
      <c r="F137" s="13">
        <v>0.0004</v>
      </c>
      <c r="G137" s="13">
        <v>0.000255</v>
      </c>
      <c r="H137" s="13">
        <v>0.0013</v>
      </c>
      <c r="I137" s="88" t="s">
        <v>374</v>
      </c>
    </row>
    <row r="138" ht="25.5">
      <c r="A138" s="7" t="s">
        <v>375</v>
      </c>
    </row>
    <row r="139" spans="1:9" ht="12.75">
      <c r="A139" s="17"/>
      <c r="D139" s="15"/>
      <c r="E139" s="15"/>
      <c r="F139" s="15"/>
      <c r="G139" s="22"/>
      <c r="H139" s="15"/>
      <c r="I139" s="26"/>
    </row>
    <row r="140" spans="1:9" ht="12.75">
      <c r="A140" s="17"/>
      <c r="D140" s="15"/>
      <c r="E140" s="15"/>
      <c r="F140" s="15"/>
      <c r="G140" s="25"/>
      <c r="H140" s="15"/>
      <c r="I140" s="26"/>
    </row>
    <row r="141" spans="4:9" ht="12.75">
      <c r="D141" s="15"/>
      <c r="E141" s="15"/>
      <c r="F141" s="15"/>
      <c r="G141" s="3"/>
      <c r="H141" s="15"/>
      <c r="I141" s="26"/>
    </row>
    <row r="142" spans="4:8" ht="12.75">
      <c r="D142" s="15"/>
      <c r="E142" s="15"/>
      <c r="F142" s="15"/>
      <c r="G142" s="3"/>
      <c r="H142" s="15"/>
    </row>
    <row r="143" spans="1:7" ht="12.75">
      <c r="A143" s="17" t="s">
        <v>199</v>
      </c>
      <c r="G143" s="3"/>
    </row>
    <row r="144" ht="12.75">
      <c r="G144" s="3"/>
    </row>
    <row r="145" spans="1:7" ht="12.75">
      <c r="A145" s="1" t="s">
        <v>14</v>
      </c>
      <c r="G145" s="3"/>
    </row>
    <row r="146" spans="1:7" ht="12.75">
      <c r="A146" t="s">
        <v>79</v>
      </c>
      <c r="G146" s="3"/>
    </row>
    <row r="147" spans="1:7" ht="12.75">
      <c r="A147" s="17" t="s">
        <v>122</v>
      </c>
      <c r="G147" s="3"/>
    </row>
    <row r="148" spans="1:7" ht="12.75">
      <c r="A148" t="s">
        <v>80</v>
      </c>
      <c r="G148" s="3"/>
    </row>
    <row r="149" spans="1:7" ht="12.75">
      <c r="A149" s="17" t="s">
        <v>193</v>
      </c>
      <c r="G149" s="3"/>
    </row>
    <row r="150" spans="1:7" ht="12.75">
      <c r="A150" t="s">
        <v>58</v>
      </c>
      <c r="G150" s="3"/>
    </row>
    <row r="151" spans="1:7" ht="12.75">
      <c r="A151" t="s">
        <v>77</v>
      </c>
      <c r="G151" s="3"/>
    </row>
    <row r="152" spans="1:7" ht="12.75">
      <c r="A152" t="s">
        <v>81</v>
      </c>
      <c r="G152" s="3"/>
    </row>
    <row r="153" spans="1:7" ht="12.75">
      <c r="A153" t="s">
        <v>82</v>
      </c>
      <c r="G153" s="3"/>
    </row>
    <row r="154" spans="1:7" ht="12.75">
      <c r="A154" t="s">
        <v>88</v>
      </c>
      <c r="G154" s="3"/>
    </row>
    <row r="155" spans="1:7" ht="12.75">
      <c r="A155" t="s">
        <v>89</v>
      </c>
      <c r="G155" s="3"/>
    </row>
    <row r="156" spans="1:7" ht="12.75">
      <c r="A156" t="s">
        <v>90</v>
      </c>
      <c r="G156" s="3"/>
    </row>
    <row r="157" spans="1:7" ht="12.75">
      <c r="A157" t="s">
        <v>93</v>
      </c>
      <c r="G157" s="3"/>
    </row>
    <row r="158" ht="12.75">
      <c r="G158" s="3"/>
    </row>
    <row r="159" ht="12.75">
      <c r="G159" s="3"/>
    </row>
    <row r="160" ht="12.75">
      <c r="G160" s="3"/>
    </row>
    <row r="161" ht="12.75">
      <c r="G161" s="3"/>
    </row>
    <row r="162" ht="12.75">
      <c r="G162" s="3"/>
    </row>
    <row r="163" ht="12.75">
      <c r="G163" s="3"/>
    </row>
    <row r="164" ht="12.75">
      <c r="G164" s="3"/>
    </row>
    <row r="165" ht="12.75">
      <c r="G165" s="3"/>
    </row>
    <row r="166" ht="12.75">
      <c r="G166" s="3"/>
    </row>
    <row r="167" ht="12.75">
      <c r="G167" s="3"/>
    </row>
    <row r="168" ht="12.75">
      <c r="G168" s="3"/>
    </row>
    <row r="169" ht="12.75">
      <c r="G169" s="3"/>
    </row>
    <row r="170" ht="12.75">
      <c r="G170" s="3"/>
    </row>
    <row r="171" ht="12.75">
      <c r="G171" s="3"/>
    </row>
    <row r="172" ht="12.75">
      <c r="G172" s="3"/>
    </row>
    <row r="173" ht="12.75">
      <c r="G173" s="3"/>
    </row>
    <row r="174" ht="12.75">
      <c r="G174" s="3"/>
    </row>
    <row r="175" ht="12.75">
      <c r="G175" s="3"/>
    </row>
    <row r="176" ht="12.75">
      <c r="G176" s="3"/>
    </row>
    <row r="177" ht="12.75">
      <c r="G177" s="3"/>
    </row>
    <row r="178" ht="12.75">
      <c r="G178" s="3"/>
    </row>
    <row r="179" ht="12.75">
      <c r="G179" s="3"/>
    </row>
  </sheetData>
  <printOptions gridLines="1"/>
  <pageMargins left="0.75" right="0.75" top="1" bottom="1" header="0.5" footer="0.5"/>
  <pageSetup fitToHeight="2"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F83"/>
  <sheetViews>
    <sheetView tabSelected="1" workbookViewId="0" topLeftCell="A1">
      <pane xSplit="1" ySplit="3" topLeftCell="AA15" activePane="bottomRight" state="frozen"/>
      <selection pane="topLeft" activeCell="A1" sqref="A1"/>
      <selection pane="topRight" activeCell="B1" sqref="B1"/>
      <selection pane="bottomLeft" activeCell="A5" sqref="A5"/>
      <selection pane="bottomRight" activeCell="AA21" sqref="AA21"/>
    </sheetView>
  </sheetViews>
  <sheetFormatPr defaultColWidth="9.140625" defaultRowHeight="12.75"/>
  <cols>
    <col min="1" max="1" width="60.7109375" style="119" customWidth="1"/>
    <col min="2" max="15" width="18.7109375" style="119" customWidth="1"/>
    <col min="16" max="29" width="16.421875" style="119" customWidth="1"/>
    <col min="30" max="16384" width="11.421875" style="119" customWidth="1"/>
  </cols>
  <sheetData>
    <row r="1" spans="1:21" ht="15">
      <c r="A1" s="219" t="s">
        <v>310</v>
      </c>
      <c r="B1" s="219"/>
      <c r="C1" s="219"/>
      <c r="D1" s="219"/>
      <c r="E1" s="219"/>
      <c r="F1" s="219"/>
      <c r="G1" s="219"/>
      <c r="H1" s="219"/>
      <c r="I1" s="219"/>
      <c r="J1" s="219"/>
      <c r="K1" s="219"/>
      <c r="L1" s="219"/>
      <c r="M1" s="219"/>
      <c r="N1" s="219"/>
      <c r="O1" s="219"/>
      <c r="P1" s="219"/>
      <c r="Q1" s="219"/>
      <c r="R1" s="219"/>
      <c r="S1" s="219"/>
      <c r="T1" s="219"/>
      <c r="U1" s="219"/>
    </row>
    <row r="2" spans="1:29" ht="30" customHeight="1">
      <c r="A2" s="181" t="s">
        <v>393</v>
      </c>
      <c r="B2" s="220" t="s">
        <v>359</v>
      </c>
      <c r="C2" s="223"/>
      <c r="D2" s="224"/>
      <c r="E2" s="220" t="s">
        <v>380</v>
      </c>
      <c r="F2" s="221"/>
      <c r="G2" s="222"/>
      <c r="H2" s="220" t="s">
        <v>382</v>
      </c>
      <c r="I2" s="221"/>
      <c r="J2" s="221"/>
      <c r="K2" s="222"/>
      <c r="L2" s="220" t="s">
        <v>383</v>
      </c>
      <c r="M2" s="221"/>
      <c r="N2" s="221"/>
      <c r="O2" s="222"/>
      <c r="P2" s="220" t="s">
        <v>386</v>
      </c>
      <c r="Q2" s="221"/>
      <c r="R2" s="221"/>
      <c r="S2" s="221"/>
      <c r="T2" s="222"/>
      <c r="U2" s="225" t="s">
        <v>389</v>
      </c>
      <c r="V2" s="221"/>
      <c r="W2" s="221"/>
      <c r="X2" s="221"/>
      <c r="Y2" s="221"/>
      <c r="Z2" s="220" t="s">
        <v>391</v>
      </c>
      <c r="AA2" s="221"/>
      <c r="AB2" s="221"/>
      <c r="AC2" s="222"/>
    </row>
    <row r="3" spans="2:29" ht="75">
      <c r="B3" s="120" t="s">
        <v>315</v>
      </c>
      <c r="C3" s="178" t="s">
        <v>311</v>
      </c>
      <c r="D3" s="180" t="s">
        <v>312</v>
      </c>
      <c r="E3" s="120" t="s">
        <v>315</v>
      </c>
      <c r="F3" s="178" t="s">
        <v>313</v>
      </c>
      <c r="G3" s="180" t="s">
        <v>312</v>
      </c>
      <c r="H3" s="120" t="s">
        <v>315</v>
      </c>
      <c r="I3" s="178" t="s">
        <v>311</v>
      </c>
      <c r="J3" s="178" t="s">
        <v>314</v>
      </c>
      <c r="K3" s="180" t="s">
        <v>312</v>
      </c>
      <c r="L3" s="120" t="s">
        <v>315</v>
      </c>
      <c r="M3" s="178" t="s">
        <v>311</v>
      </c>
      <c r="N3" s="178" t="s">
        <v>314</v>
      </c>
      <c r="O3" s="180" t="s">
        <v>312</v>
      </c>
      <c r="P3" s="120" t="s">
        <v>315</v>
      </c>
      <c r="Q3" s="178" t="s">
        <v>311</v>
      </c>
      <c r="R3" s="178" t="s">
        <v>314</v>
      </c>
      <c r="S3" s="180" t="s">
        <v>312</v>
      </c>
      <c r="T3" s="180" t="s">
        <v>316</v>
      </c>
      <c r="U3" s="120" t="s">
        <v>315</v>
      </c>
      <c r="V3" s="178" t="s">
        <v>311</v>
      </c>
      <c r="W3" s="178" t="s">
        <v>314</v>
      </c>
      <c r="X3" s="180" t="s">
        <v>312</v>
      </c>
      <c r="Y3" s="180" t="s">
        <v>316</v>
      </c>
      <c r="Z3" s="120" t="s">
        <v>315</v>
      </c>
      <c r="AA3" s="178" t="s">
        <v>311</v>
      </c>
      <c r="AB3" s="212" t="s">
        <v>392</v>
      </c>
      <c r="AC3" s="214" t="s">
        <v>317</v>
      </c>
    </row>
    <row r="4" spans="1:29" ht="20.25" customHeight="1">
      <c r="A4" s="121" t="s">
        <v>318</v>
      </c>
      <c r="B4" s="118"/>
      <c r="C4" s="149"/>
      <c r="D4" s="142"/>
      <c r="E4" s="118"/>
      <c r="F4" s="149"/>
      <c r="G4" s="142"/>
      <c r="H4" s="118"/>
      <c r="I4" s="149"/>
      <c r="J4" s="149"/>
      <c r="K4" s="142"/>
      <c r="L4" s="118"/>
      <c r="M4" s="149"/>
      <c r="N4" s="149"/>
      <c r="O4" s="142"/>
      <c r="P4" s="118"/>
      <c r="Q4" s="149"/>
      <c r="R4" s="149"/>
      <c r="S4" s="142"/>
      <c r="T4" s="142"/>
      <c r="U4" s="118"/>
      <c r="V4" s="154"/>
      <c r="W4" s="154"/>
      <c r="X4" s="147"/>
      <c r="Y4" s="147"/>
      <c r="AA4" s="154"/>
      <c r="AB4" s="147"/>
      <c r="AC4" s="147"/>
    </row>
    <row r="5" spans="1:29" ht="71.25">
      <c r="A5" s="118" t="s">
        <v>319</v>
      </c>
      <c r="B5" s="159" t="s">
        <v>360</v>
      </c>
      <c r="C5" s="149"/>
      <c r="D5" s="142"/>
      <c r="E5" s="159" t="s">
        <v>361</v>
      </c>
      <c r="F5" s="149"/>
      <c r="G5" s="142"/>
      <c r="H5" s="159" t="s">
        <v>385</v>
      </c>
      <c r="I5" s="149"/>
      <c r="J5" s="149"/>
      <c r="K5" s="142"/>
      <c r="L5" s="174" t="s">
        <v>384</v>
      </c>
      <c r="M5" s="149"/>
      <c r="N5" s="149"/>
      <c r="O5" s="142"/>
      <c r="P5" s="174" t="s">
        <v>387</v>
      </c>
      <c r="Q5" s="149"/>
      <c r="R5" s="149"/>
      <c r="S5" s="142"/>
      <c r="T5" s="142"/>
      <c r="U5" s="175" t="s">
        <v>320</v>
      </c>
      <c r="V5" s="154"/>
      <c r="W5" s="154"/>
      <c r="X5" s="147"/>
      <c r="Y5" s="147"/>
      <c r="Z5" s="176" t="s">
        <v>321</v>
      </c>
      <c r="AA5" s="154"/>
      <c r="AB5" s="147"/>
      <c r="AC5" s="147"/>
    </row>
    <row r="6" spans="1:29" ht="71.25">
      <c r="A6" s="118" t="s">
        <v>322</v>
      </c>
      <c r="B6" s="161" t="s">
        <v>363</v>
      </c>
      <c r="C6" s="149"/>
      <c r="D6" s="142"/>
      <c r="E6" s="158" t="s">
        <v>362</v>
      </c>
      <c r="F6" s="149"/>
      <c r="G6" s="142"/>
      <c r="H6" s="157" t="s">
        <v>173</v>
      </c>
      <c r="I6" s="149"/>
      <c r="J6" s="149"/>
      <c r="K6" s="142"/>
      <c r="L6" s="157" t="s">
        <v>177</v>
      </c>
      <c r="M6" s="149"/>
      <c r="N6" s="149"/>
      <c r="O6" s="142"/>
      <c r="P6" s="159" t="s">
        <v>397</v>
      </c>
      <c r="Q6" s="149"/>
      <c r="R6" s="149"/>
      <c r="S6" s="142"/>
      <c r="T6" s="142"/>
      <c r="U6" s="175" t="s">
        <v>388</v>
      </c>
      <c r="V6" s="154"/>
      <c r="W6" s="154"/>
      <c r="X6" s="147"/>
      <c r="Y6" s="147"/>
      <c r="Z6" s="177" t="s">
        <v>323</v>
      </c>
      <c r="AA6" s="154"/>
      <c r="AB6" s="147"/>
      <c r="AC6" s="147"/>
    </row>
    <row r="7" spans="1:29" ht="15">
      <c r="A7" s="183" t="s">
        <v>402</v>
      </c>
      <c r="B7" s="193">
        <f>+'Prototype Summaries'!B96-'Prototype Summaries'!B105</f>
        <v>0</v>
      </c>
      <c r="C7" s="149"/>
      <c r="D7" s="142"/>
      <c r="E7" s="192">
        <f>+'Prototype Summaries'!C96-'Prototype Summaries'!C105</f>
        <v>0</v>
      </c>
      <c r="F7" s="149"/>
      <c r="G7" s="142"/>
      <c r="H7" s="194">
        <f>+'Prototype Summaries'!D96-'Prototype Summaries'!D105</f>
        <v>213000</v>
      </c>
      <c r="I7" s="149"/>
      <c r="J7" s="149"/>
      <c r="K7" s="142"/>
      <c r="L7" s="122">
        <f>+'Prototype Summaries'!E96-'Prototype Summaries'!E105</f>
        <v>245000</v>
      </c>
      <c r="M7" s="149"/>
      <c r="N7" s="149"/>
      <c r="O7" s="142"/>
      <c r="P7" s="122">
        <f>+'Prototype Summaries'!$F$96-'Prototype Summaries'!$F$105</f>
        <v>210000</v>
      </c>
      <c r="Q7" s="149"/>
      <c r="R7" s="149"/>
      <c r="S7" s="142"/>
      <c r="T7" s="142"/>
      <c r="U7" s="204">
        <f>+'Prototype Summaries'!H96-'Prototype Summaries'!H105</f>
        <v>250000</v>
      </c>
      <c r="V7" s="154"/>
      <c r="W7" s="154"/>
      <c r="X7" s="147"/>
      <c r="Y7" s="147"/>
      <c r="Z7" s="208">
        <f>+'Prototype Summaries'!I96</f>
        <v>0</v>
      </c>
      <c r="AA7" s="154"/>
      <c r="AB7" s="147"/>
      <c r="AC7" s="210" t="s">
        <v>31</v>
      </c>
    </row>
    <row r="8" spans="1:84" ht="15">
      <c r="A8" s="183" t="s">
        <v>395</v>
      </c>
      <c r="B8" s="122">
        <f>+'Prototype Summaries'!B42</f>
        <v>1040</v>
      </c>
      <c r="C8" s="150"/>
      <c r="D8" s="143"/>
      <c r="E8" s="122">
        <f>+'Prototype Summaries'!C40+'Prototype Summaries'!C41+'Prototype Summaries'!C42</f>
        <v>0</v>
      </c>
      <c r="F8" s="150"/>
      <c r="G8" s="143"/>
      <c r="H8" s="122">
        <f>+'Prototype Summaries'!D41+'Prototype Summaries'!D42</f>
        <v>3000</v>
      </c>
      <c r="I8" s="150"/>
      <c r="J8" s="150"/>
      <c r="K8" s="143"/>
      <c r="L8" s="123">
        <f>+'Prototype Summaries'!E41+'Prototype Summaries'!E42</f>
        <v>0</v>
      </c>
      <c r="M8" s="150"/>
      <c r="N8" s="150"/>
      <c r="O8" s="143"/>
      <c r="P8" s="122">
        <f>+'Prototype Summaries'!F41+'Prototype Summaries'!F42</f>
        <v>17185</v>
      </c>
      <c r="Q8" s="150"/>
      <c r="R8" s="150"/>
      <c r="S8" s="143"/>
      <c r="T8" s="143"/>
      <c r="U8" s="122">
        <v>0</v>
      </c>
      <c r="V8" s="153"/>
      <c r="W8" s="153"/>
      <c r="X8" s="146"/>
      <c r="Y8" s="146"/>
      <c r="Z8" s="124">
        <v>6442.8</v>
      </c>
      <c r="AA8" s="153"/>
      <c r="AB8" s="146"/>
      <c r="AC8" s="146"/>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row>
    <row r="9" spans="1:84" ht="15">
      <c r="A9" s="160" t="s">
        <v>394</v>
      </c>
      <c r="B9" s="122">
        <f>+'Prototype Summaries'!B40</f>
        <v>0</v>
      </c>
      <c r="C9" s="150"/>
      <c r="D9" s="143"/>
      <c r="E9" s="122">
        <f>+'Prototype Summaries'!C40</f>
        <v>0</v>
      </c>
      <c r="F9" s="150"/>
      <c r="G9" s="143"/>
      <c r="H9" s="122">
        <f>+'Prototype Summaries'!D40</f>
        <v>0</v>
      </c>
      <c r="I9" s="150"/>
      <c r="J9" s="150"/>
      <c r="K9" s="143"/>
      <c r="L9" s="123">
        <f>+'Prototype Summaries'!E40</f>
        <v>0</v>
      </c>
      <c r="M9" s="150"/>
      <c r="N9" s="150"/>
      <c r="O9" s="143"/>
      <c r="P9" s="122">
        <f>+'Prototype Summaries'!G46</f>
        <v>4000</v>
      </c>
      <c r="Q9" s="150"/>
      <c r="R9" s="150"/>
      <c r="S9" s="143"/>
      <c r="T9" s="143"/>
      <c r="U9" s="122">
        <v>0</v>
      </c>
      <c r="V9" s="153"/>
      <c r="W9" s="153"/>
      <c r="X9" s="146"/>
      <c r="Y9" s="146"/>
      <c r="Z9" s="124">
        <f>+'Prototype Summaries'!I40+'Prototype Summaries'!I46</f>
        <v>0</v>
      </c>
      <c r="AA9" s="153"/>
      <c r="AB9" s="146"/>
      <c r="AC9" s="146"/>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row>
    <row r="10" spans="1:84" ht="15">
      <c r="A10" s="118" t="s">
        <v>324</v>
      </c>
      <c r="B10" s="122">
        <f>+'Prototype Summaries'!B87</f>
        <v>588.2000000000007</v>
      </c>
      <c r="C10" s="150"/>
      <c r="D10" s="143"/>
      <c r="E10" s="122">
        <f>+'Prototype Summaries'!C87</f>
        <v>-1294</v>
      </c>
      <c r="F10" s="150"/>
      <c r="G10" s="143"/>
      <c r="H10" s="122">
        <f>+'Prototype Summaries'!D87</f>
        <v>-2</v>
      </c>
      <c r="I10" s="150"/>
      <c r="J10" s="150"/>
      <c r="K10" s="143"/>
      <c r="L10" s="122">
        <f>+'Prototype Summaries'!E87</f>
        <v>4052.5</v>
      </c>
      <c r="M10" s="150"/>
      <c r="N10" s="150"/>
      <c r="O10" s="143"/>
      <c r="P10" s="122">
        <f>+'Prototype Summaries'!F87</f>
        <v>4695.5</v>
      </c>
      <c r="Q10" s="150"/>
      <c r="R10" s="150"/>
      <c r="S10" s="143"/>
      <c r="T10" s="143"/>
      <c r="U10" s="122">
        <f>+'Prototype Summaries'!H87</f>
        <v>3741</v>
      </c>
      <c r="V10" s="153"/>
      <c r="W10" s="153"/>
      <c r="X10" s="146"/>
      <c r="Y10" s="146"/>
      <c r="Z10" s="124">
        <f>+'Prototype Summaries'!I87</f>
        <v>-4488</v>
      </c>
      <c r="AA10" s="153"/>
      <c r="AB10" s="146"/>
      <c r="AC10" s="217">
        <v>7000</v>
      </c>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row>
    <row r="11" spans="1:84" ht="15">
      <c r="A11" s="183" t="s">
        <v>399</v>
      </c>
      <c r="B11" s="122">
        <f>+'Prototype Summaries'!B99</f>
        <v>2080</v>
      </c>
      <c r="C11" s="150"/>
      <c r="D11" s="143"/>
      <c r="E11" s="122">
        <f>+'Prototype Summaries'!C99</f>
        <v>0</v>
      </c>
      <c r="F11" s="150"/>
      <c r="G11" s="143"/>
      <c r="H11" s="122">
        <f>+'Prototype Summaries'!D99</f>
        <v>60000</v>
      </c>
      <c r="I11" s="150"/>
      <c r="J11" s="150"/>
      <c r="K11" s="143"/>
      <c r="L11" s="190">
        <f>+'Prototype Summaries'!E99</f>
        <v>0</v>
      </c>
      <c r="M11" s="150"/>
      <c r="N11" s="150"/>
      <c r="O11" s="143"/>
      <c r="P11" s="122">
        <f>+'Prototype Summaries'!F99</f>
        <v>125000</v>
      </c>
      <c r="Q11" s="150"/>
      <c r="R11" s="150"/>
      <c r="S11" s="143"/>
      <c r="T11" s="143"/>
      <c r="U11" s="122">
        <f>+'Prototype Summaries'!H99</f>
        <v>125000</v>
      </c>
      <c r="V11" s="153"/>
      <c r="W11" s="153"/>
      <c r="X11" s="146"/>
      <c r="Y11" s="146"/>
      <c r="Z11" s="124">
        <f>+'Prototype Summaries'!I99</f>
        <v>19328</v>
      </c>
      <c r="AA11" s="153"/>
      <c r="AB11" s="146"/>
      <c r="AC11" s="146"/>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row>
    <row r="12" spans="1:84" ht="15">
      <c r="A12" s="160" t="s">
        <v>398</v>
      </c>
      <c r="B12" s="122">
        <v>0</v>
      </c>
      <c r="C12" s="150"/>
      <c r="D12" s="143"/>
      <c r="E12" s="122">
        <v>0</v>
      </c>
      <c r="F12" s="150"/>
      <c r="G12" s="143"/>
      <c r="H12" s="122">
        <v>0</v>
      </c>
      <c r="I12" s="150"/>
      <c r="J12" s="150"/>
      <c r="K12" s="143"/>
      <c r="L12" s="122">
        <f>+'Prototype Summaries'!E98</f>
        <v>500000</v>
      </c>
      <c r="M12" s="150"/>
      <c r="N12" s="150"/>
      <c r="O12" s="143"/>
      <c r="P12" s="122">
        <f>+'Prototype Summaries'!F98</f>
        <v>200000</v>
      </c>
      <c r="Q12" s="150"/>
      <c r="R12" s="150"/>
      <c r="S12" s="143"/>
      <c r="T12" s="143"/>
      <c r="U12" s="122">
        <f>PV(6%,20,48000,0,1)*-1</f>
        <v>583589.5916006005</v>
      </c>
      <c r="V12" s="153"/>
      <c r="W12" s="153"/>
      <c r="X12" s="146"/>
      <c r="Y12" s="146"/>
      <c r="Z12" s="209" t="s">
        <v>28</v>
      </c>
      <c r="AA12" s="153"/>
      <c r="AB12" s="146"/>
      <c r="AC12" s="146"/>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row>
    <row r="13" spans="1:84" ht="15">
      <c r="A13" s="160" t="s">
        <v>378</v>
      </c>
      <c r="B13" s="122">
        <v>0</v>
      </c>
      <c r="C13" s="150"/>
      <c r="D13" s="143"/>
      <c r="E13" s="122">
        <f>+'Prototype Summaries'!C100</f>
        <v>0</v>
      </c>
      <c r="F13" s="150"/>
      <c r="G13" s="143"/>
      <c r="H13" s="122">
        <f>+'Prototype Summaries'!D100</f>
        <v>0</v>
      </c>
      <c r="I13" s="150"/>
      <c r="J13" s="150"/>
      <c r="K13" s="143"/>
      <c r="L13" s="122">
        <f>+'Prototype Summaries'!E100</f>
        <v>0</v>
      </c>
      <c r="M13" s="150"/>
      <c r="N13" s="150"/>
      <c r="O13" s="143"/>
      <c r="P13" s="122">
        <f>+'Prototype Summaries'!F100</f>
        <v>40000</v>
      </c>
      <c r="Q13" s="150"/>
      <c r="R13" s="150"/>
      <c r="S13" s="143"/>
      <c r="T13" s="143"/>
      <c r="U13" s="122">
        <f>+'Prototype Summaries'!H100</f>
        <v>60000</v>
      </c>
      <c r="V13" s="153"/>
      <c r="W13" s="153"/>
      <c r="X13" s="146"/>
      <c r="Y13" s="146"/>
      <c r="Z13" s="124">
        <f>+'Prototype Summaries'!I100</f>
        <v>0</v>
      </c>
      <c r="AA13" s="153"/>
      <c r="AB13" s="146"/>
      <c r="AC13" s="146"/>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row>
    <row r="14" spans="1:29" ht="15">
      <c r="A14" s="125" t="s">
        <v>325</v>
      </c>
      <c r="B14" s="126">
        <f>+'Prototype Summaries'!B130</f>
        <v>0.22</v>
      </c>
      <c r="C14" s="151"/>
      <c r="D14" s="144"/>
      <c r="E14" s="126">
        <f>+'Prototype Summaries'!C130</f>
        <v>0</v>
      </c>
      <c r="F14" s="151"/>
      <c r="G14" s="144"/>
      <c r="H14" s="126">
        <f>+'Prototype Summaries'!D130</f>
        <v>0.28</v>
      </c>
      <c r="I14" s="151"/>
      <c r="J14" s="151"/>
      <c r="K14" s="144"/>
      <c r="L14" s="126">
        <f>+'Prototype Summaries'!E130</f>
        <v>0.373</v>
      </c>
      <c r="M14" s="151"/>
      <c r="N14" s="151"/>
      <c r="O14" s="144"/>
      <c r="P14" s="126">
        <f>+'Prototype Summaries'!F130</f>
        <v>0.25</v>
      </c>
      <c r="Q14" s="151"/>
      <c r="R14" s="151"/>
      <c r="S14" s="144"/>
      <c r="T14" s="144"/>
      <c r="U14" s="126">
        <f>+'Prototype Summaries'!H130</f>
        <v>0.2874</v>
      </c>
      <c r="V14" s="152"/>
      <c r="W14" s="152"/>
      <c r="X14" s="145"/>
      <c r="Y14" s="145"/>
      <c r="Z14" s="127">
        <f>+'Prototype Summaries'!I130</f>
        <v>0.303</v>
      </c>
      <c r="AA14" s="152"/>
      <c r="AB14" s="147"/>
      <c r="AC14" s="145">
        <v>0.3</v>
      </c>
    </row>
    <row r="15" spans="1:29" ht="15">
      <c r="A15" s="125" t="s">
        <v>326</v>
      </c>
      <c r="B15" s="126">
        <f>+'Prototype Summaries'!B131</f>
        <v>0.05</v>
      </c>
      <c r="C15" s="151"/>
      <c r="D15" s="144"/>
      <c r="E15" s="126">
        <f>+'Prototype Summaries'!C131</f>
        <v>0.05</v>
      </c>
      <c r="F15" s="151"/>
      <c r="G15" s="144"/>
      <c r="H15" s="126">
        <f>+'Prototype Summaries'!D131</f>
        <v>0.15</v>
      </c>
      <c r="I15" s="151"/>
      <c r="J15" s="151"/>
      <c r="K15" s="144"/>
      <c r="L15" s="126">
        <f>+'Prototype Summaries'!E131</f>
        <v>0.15</v>
      </c>
      <c r="M15" s="151"/>
      <c r="N15" s="151"/>
      <c r="O15" s="144"/>
      <c r="P15" s="126">
        <f>+'Prototype Summaries'!F131</f>
        <v>0.15</v>
      </c>
      <c r="Q15" s="151"/>
      <c r="R15" s="151"/>
      <c r="S15" s="144"/>
      <c r="T15" s="144"/>
      <c r="U15" s="126">
        <f>+'Prototype Summaries'!H131</f>
        <v>0.15</v>
      </c>
      <c r="V15" s="152"/>
      <c r="W15" s="152"/>
      <c r="X15" s="145"/>
      <c r="Y15" s="145"/>
      <c r="Z15" s="127">
        <f>+'Prototype Summaries'!I131</f>
        <v>0.15</v>
      </c>
      <c r="AA15" s="152"/>
      <c r="AB15" s="147"/>
      <c r="AC15" s="145">
        <v>0.15</v>
      </c>
    </row>
    <row r="16" spans="1:29" ht="15">
      <c r="A16" s="118" t="s">
        <v>327</v>
      </c>
      <c r="B16" s="169">
        <v>13</v>
      </c>
      <c r="C16" s="151"/>
      <c r="D16" s="144"/>
      <c r="E16" s="169">
        <v>12</v>
      </c>
      <c r="F16" s="151"/>
      <c r="G16" s="144"/>
      <c r="H16" s="169">
        <v>15</v>
      </c>
      <c r="I16" s="151"/>
      <c r="J16" s="151"/>
      <c r="K16" s="144"/>
      <c r="L16" s="169">
        <v>13</v>
      </c>
      <c r="M16" s="151"/>
      <c r="N16" s="151"/>
      <c r="O16" s="144"/>
      <c r="P16" s="169">
        <v>16</v>
      </c>
      <c r="Q16" s="151"/>
      <c r="R16" s="151"/>
      <c r="S16" s="144"/>
      <c r="T16" s="144"/>
      <c r="U16" s="169">
        <v>15</v>
      </c>
      <c r="V16" s="152"/>
      <c r="W16" s="152"/>
      <c r="X16" s="145"/>
      <c r="Y16" s="145"/>
      <c r="Z16" s="169">
        <v>17</v>
      </c>
      <c r="AA16" s="152"/>
      <c r="AB16" s="147"/>
      <c r="AC16" s="147"/>
    </row>
    <row r="17" spans="1:29" ht="28.5">
      <c r="A17" s="118" t="s">
        <v>328</v>
      </c>
      <c r="B17" s="170" t="s">
        <v>377</v>
      </c>
      <c r="C17" s="149"/>
      <c r="D17" s="142"/>
      <c r="E17" s="170" t="s">
        <v>381</v>
      </c>
      <c r="F17" s="149"/>
      <c r="G17" s="142"/>
      <c r="H17" s="173" t="s">
        <v>377</v>
      </c>
      <c r="I17" s="149"/>
      <c r="J17" s="149"/>
      <c r="K17" s="142"/>
      <c r="L17" s="173" t="s">
        <v>381</v>
      </c>
      <c r="M17" s="149"/>
      <c r="N17" s="149"/>
      <c r="O17" s="142"/>
      <c r="P17" s="157" t="s">
        <v>377</v>
      </c>
      <c r="Q17" s="149"/>
      <c r="R17" s="149"/>
      <c r="S17" s="142"/>
      <c r="T17" s="142"/>
      <c r="U17" s="157" t="s">
        <v>381</v>
      </c>
      <c r="V17" s="154"/>
      <c r="W17" s="154"/>
      <c r="X17" s="147"/>
      <c r="Y17" s="147"/>
      <c r="Z17" s="157" t="s">
        <v>390</v>
      </c>
      <c r="AA17" s="154"/>
      <c r="AB17" s="147"/>
      <c r="AC17" s="147"/>
    </row>
    <row r="18" spans="1:29" ht="18" customHeight="1">
      <c r="A18" s="128" t="s">
        <v>329</v>
      </c>
      <c r="B18" s="118"/>
      <c r="C18" s="149"/>
      <c r="D18" s="142"/>
      <c r="E18" s="118"/>
      <c r="F18" s="149"/>
      <c r="G18" s="142"/>
      <c r="H18" s="118"/>
      <c r="I18" s="149"/>
      <c r="J18" s="149"/>
      <c r="K18" s="142"/>
      <c r="L18" s="118"/>
      <c r="M18" s="149"/>
      <c r="N18" s="149"/>
      <c r="O18" s="142"/>
      <c r="P18" s="118"/>
      <c r="Q18" s="149"/>
      <c r="R18" s="149"/>
      <c r="S18" s="142"/>
      <c r="T18" s="147"/>
      <c r="U18" s="118"/>
      <c r="V18" s="205"/>
      <c r="W18" s="154"/>
      <c r="X18" s="147"/>
      <c r="Y18" s="147"/>
      <c r="AA18" s="154"/>
      <c r="AB18" s="147"/>
      <c r="AC18" s="147"/>
    </row>
    <row r="19" spans="1:29" ht="60">
      <c r="A19" s="129" t="s">
        <v>330</v>
      </c>
      <c r="B19" s="158" t="s">
        <v>331</v>
      </c>
      <c r="C19" s="149"/>
      <c r="D19" s="142"/>
      <c r="E19" s="122">
        <v>0</v>
      </c>
      <c r="F19" s="150"/>
      <c r="G19" s="143"/>
      <c r="H19" s="122">
        <f>+H7</f>
        <v>213000</v>
      </c>
      <c r="I19" s="151">
        <f>H19/H$43</f>
        <v>0.7118983957219251</v>
      </c>
      <c r="J19" s="151"/>
      <c r="K19" s="144" t="s">
        <v>332</v>
      </c>
      <c r="L19" s="122">
        <f>+L7</f>
        <v>245000</v>
      </c>
      <c r="M19" s="151">
        <f>L7/L$43</f>
        <v>0.636198390028564</v>
      </c>
      <c r="N19" s="150"/>
      <c r="O19" s="189" t="s">
        <v>336</v>
      </c>
      <c r="P19" s="122">
        <f>+P7</f>
        <v>210000</v>
      </c>
      <c r="Q19" s="151">
        <f>+P7/$P$43</f>
        <v>0.5240880867290914</v>
      </c>
      <c r="R19" s="151"/>
      <c r="S19" s="143" t="s">
        <v>333</v>
      </c>
      <c r="T19" s="203" t="s">
        <v>334</v>
      </c>
      <c r="U19" s="122">
        <f>+U7+100000</f>
        <v>350000</v>
      </c>
      <c r="V19" s="151">
        <f>+U19/$U$43</f>
        <v>0.34146341463414637</v>
      </c>
      <c r="W19" s="206">
        <f>(U19-U7)/(U43-U7)</f>
        <v>0.12903225806451613</v>
      </c>
      <c r="X19" s="147" t="s">
        <v>335</v>
      </c>
      <c r="Y19" s="207" t="s">
        <v>408</v>
      </c>
      <c r="Z19" s="130">
        <f>+Z11*0.2</f>
        <v>3865.6000000000004</v>
      </c>
      <c r="AA19" s="151">
        <f>+Z19/$Z$43</f>
        <v>0.162229310055397</v>
      </c>
      <c r="AB19" s="147"/>
      <c r="AC19" s="215" t="s">
        <v>336</v>
      </c>
    </row>
    <row r="20" spans="1:29" ht="45">
      <c r="A20" s="129" t="s">
        <v>337</v>
      </c>
      <c r="B20" s="124">
        <v>588</v>
      </c>
      <c r="C20" s="152">
        <f>+B20/$B$43</f>
        <v>0.22038980509745126</v>
      </c>
      <c r="D20" s="145">
        <f>+B20/$B$43</f>
        <v>0.22038980509745126</v>
      </c>
      <c r="E20" s="122">
        <f>+'Prototype Summaries'!C91</f>
        <v>2500</v>
      </c>
      <c r="F20" s="151">
        <f>E20/E43</f>
        <v>1</v>
      </c>
      <c r="G20" s="144">
        <v>0.2</v>
      </c>
      <c r="H20" s="123">
        <f>1200+10000</f>
        <v>11200</v>
      </c>
      <c r="I20" s="151">
        <f>H20/H$43</f>
        <v>0.0374331550802139</v>
      </c>
      <c r="J20" s="151">
        <f>H20/(H$43-H19)</f>
        <v>0.12993039443155452</v>
      </c>
      <c r="K20" s="144">
        <v>0.05</v>
      </c>
      <c r="L20" s="122">
        <f>+'Prototype Summaries'!E91</f>
        <v>5100</v>
      </c>
      <c r="M20" s="151">
        <f>L20/L$43</f>
        <v>0.013243313425084394</v>
      </c>
      <c r="N20" s="151">
        <f>L20/(L$43-L7)</f>
        <v>0.03640256959314775</v>
      </c>
      <c r="O20" s="144">
        <v>0.04</v>
      </c>
      <c r="P20" s="123">
        <v>20696</v>
      </c>
      <c r="Q20" s="151">
        <f>+P20/$P$43</f>
        <v>0.05165012877592988</v>
      </c>
      <c r="R20" s="151">
        <f>+P20/($P$43-$P$7)</f>
        <v>0.10852875781348324</v>
      </c>
      <c r="S20" s="144">
        <v>0.09</v>
      </c>
      <c r="T20" s="199" t="s">
        <v>338</v>
      </c>
      <c r="U20" s="123">
        <f>+'Prototype Summaries'!H91</f>
        <v>50000</v>
      </c>
      <c r="V20" s="151">
        <f>+U20/$U$43</f>
        <v>0.04878048780487805</v>
      </c>
      <c r="W20" s="151">
        <f>+U20/(+$U$43-$U$7)</f>
        <v>0.06451612903225806</v>
      </c>
      <c r="X20" s="144">
        <v>0.05</v>
      </c>
      <c r="Y20" s="144">
        <v>0.05</v>
      </c>
      <c r="Z20" s="131">
        <f>+'Prototype Summaries'!I91</f>
        <v>4500</v>
      </c>
      <c r="AA20" s="151">
        <f>+Z20/$Z$43</f>
        <v>0.1888534497230149</v>
      </c>
      <c r="AB20" s="213" t="s">
        <v>411</v>
      </c>
      <c r="AC20" s="215">
        <v>0.04</v>
      </c>
    </row>
    <row r="21" spans="1:29" ht="15">
      <c r="A21" s="129" t="s">
        <v>339</v>
      </c>
      <c r="B21" s="124"/>
      <c r="C21" s="153"/>
      <c r="D21" s="146"/>
      <c r="E21" s="122"/>
      <c r="F21" s="151"/>
      <c r="G21" s="144"/>
      <c r="H21" s="123">
        <v>25000</v>
      </c>
      <c r="I21" s="151">
        <f>H21/H$43</f>
        <v>0.08355614973262032</v>
      </c>
      <c r="J21" s="151">
        <f>H21/(H$43-H$19)</f>
        <v>0.2900232018561485</v>
      </c>
      <c r="K21" s="144">
        <v>0.05</v>
      </c>
      <c r="L21" s="122">
        <v>135000</v>
      </c>
      <c r="M21" s="151">
        <f>L21/L$43</f>
        <v>0.3505582965463516</v>
      </c>
      <c r="N21" s="151">
        <f>L21/(L$43-L$7)</f>
        <v>0.9635974304068522</v>
      </c>
      <c r="O21" s="144" t="s">
        <v>336</v>
      </c>
      <c r="P21" s="122">
        <f>P22+P24</f>
        <v>40000</v>
      </c>
      <c r="Q21" s="151">
        <f>+P21/$P$43</f>
        <v>0.09982630223411264</v>
      </c>
      <c r="R21" s="151">
        <f>+P21/($P$43-$P$7)</f>
        <v>0.20975793933800393</v>
      </c>
      <c r="S21" s="199">
        <v>0.05</v>
      </c>
      <c r="T21" s="144" t="s">
        <v>340</v>
      </c>
      <c r="U21" s="123">
        <f>+U22+U23</f>
        <v>300000</v>
      </c>
      <c r="V21" s="151">
        <f>+U21/$U$43</f>
        <v>0.2926829268292683</v>
      </c>
      <c r="W21" s="151">
        <f>+U21/(+$U$43-$U$7)</f>
        <v>0.3870967741935484</v>
      </c>
      <c r="X21" s="147" t="s">
        <v>341</v>
      </c>
      <c r="Y21" s="147" t="s">
        <v>342</v>
      </c>
      <c r="Z21" s="122">
        <f>+Z11*0.2</f>
        <v>3865.6000000000004</v>
      </c>
      <c r="AA21" s="151">
        <f>+Z21/$Z$43</f>
        <v>0.162229310055397</v>
      </c>
      <c r="AB21" s="147"/>
      <c r="AC21" s="215">
        <v>0.2</v>
      </c>
    </row>
    <row r="22" spans="1:29" ht="15">
      <c r="A22" s="132" t="s">
        <v>413</v>
      </c>
      <c r="B22" s="124"/>
      <c r="C22" s="154"/>
      <c r="D22" s="147"/>
      <c r="E22" s="133"/>
      <c r="F22" s="151"/>
      <c r="G22" s="144">
        <v>0.8</v>
      </c>
      <c r="H22" s="134">
        <v>5000</v>
      </c>
      <c r="I22" s="187">
        <f>H22/H21</f>
        <v>0.2</v>
      </c>
      <c r="J22" s="187"/>
      <c r="K22" s="185">
        <v>1</v>
      </c>
      <c r="L22" s="124">
        <f>+L21</f>
        <v>135000</v>
      </c>
      <c r="M22" s="187">
        <f>+L22/$L$21</f>
        <v>1</v>
      </c>
      <c r="N22" s="187">
        <f>+L22/$L$21</f>
        <v>1</v>
      </c>
      <c r="O22" s="145">
        <v>0</v>
      </c>
      <c r="P22" s="134">
        <v>5000</v>
      </c>
      <c r="Q22" s="152">
        <v>1</v>
      </c>
      <c r="R22" s="152">
        <v>1</v>
      </c>
      <c r="S22" s="145">
        <v>1</v>
      </c>
      <c r="T22" s="145"/>
      <c r="U22" s="134">
        <v>100000</v>
      </c>
      <c r="V22" s="154"/>
      <c r="W22" s="154"/>
      <c r="X22" s="147"/>
      <c r="Y22" s="147"/>
      <c r="AA22" s="154"/>
      <c r="AB22" s="147"/>
      <c r="AC22" s="147"/>
    </row>
    <row r="23" spans="1:29" ht="15">
      <c r="A23" s="132" t="s">
        <v>414</v>
      </c>
      <c r="C23" s="154"/>
      <c r="D23" s="147"/>
      <c r="E23" s="124"/>
      <c r="F23" s="151"/>
      <c r="G23" s="144"/>
      <c r="H23" s="134"/>
      <c r="I23" s="151"/>
      <c r="J23" s="151"/>
      <c r="K23" s="144"/>
      <c r="M23" s="187">
        <f>+L23/$L$21</f>
        <v>0</v>
      </c>
      <c r="N23" s="187">
        <f>+L23/$L$21</f>
        <v>0</v>
      </c>
      <c r="O23" s="145">
        <v>1</v>
      </c>
      <c r="P23" s="135"/>
      <c r="Q23" s="196"/>
      <c r="R23" s="196"/>
      <c r="S23" s="200"/>
      <c r="T23" s="200"/>
      <c r="U23" s="134">
        <v>200000</v>
      </c>
      <c r="V23" s="154"/>
      <c r="W23" s="154"/>
      <c r="X23" s="147"/>
      <c r="Y23" s="147"/>
      <c r="Z23" s="133">
        <f>+Z21</f>
        <v>3865.6000000000004</v>
      </c>
      <c r="AA23" s="154"/>
      <c r="AB23" s="147"/>
      <c r="AC23" s="216">
        <v>1</v>
      </c>
    </row>
    <row r="24" spans="1:29" ht="15">
      <c r="A24" s="132" t="s">
        <v>412</v>
      </c>
      <c r="C24" s="154"/>
      <c r="D24" s="147"/>
      <c r="E24" s="124"/>
      <c r="F24" s="151"/>
      <c r="G24" s="144"/>
      <c r="H24" s="134">
        <v>20000</v>
      </c>
      <c r="I24" s="187">
        <f>H24/H21</f>
        <v>0.8</v>
      </c>
      <c r="J24" s="151"/>
      <c r="K24" s="144"/>
      <c r="M24" s="187">
        <f>+L24/$L$21</f>
        <v>0</v>
      </c>
      <c r="N24" s="187">
        <f>+L24/$L$21</f>
        <v>0</v>
      </c>
      <c r="O24" s="145"/>
      <c r="P24" s="134">
        <f>+P13-P25</f>
        <v>35000</v>
      </c>
      <c r="Q24" s="151">
        <f>+P24/$P$43</f>
        <v>0.08734801445484856</v>
      </c>
      <c r="R24" s="151">
        <f>+P24/($P$43-$P$7)</f>
        <v>0.18353819692075346</v>
      </c>
      <c r="S24" s="200"/>
      <c r="T24" s="200"/>
      <c r="U24" s="134"/>
      <c r="V24" s="154"/>
      <c r="W24" s="154"/>
      <c r="X24" s="147"/>
      <c r="Y24" s="147"/>
      <c r="Z24" s="122"/>
      <c r="AA24" s="154"/>
      <c r="AB24" s="147"/>
      <c r="AC24" s="215">
        <v>0.1</v>
      </c>
    </row>
    <row r="25" spans="1:29" ht="15">
      <c r="A25" s="129" t="s">
        <v>343</v>
      </c>
      <c r="C25" s="154"/>
      <c r="D25" s="145">
        <f>+(B11/2)/$B$43</f>
        <v>0.38980509745127434</v>
      </c>
      <c r="E25" s="124"/>
      <c r="F25" s="151"/>
      <c r="G25" s="144"/>
      <c r="H25" s="134"/>
      <c r="I25" s="151"/>
      <c r="J25" s="151"/>
      <c r="K25" s="144">
        <v>0.05</v>
      </c>
      <c r="M25" s="151"/>
      <c r="N25" s="154"/>
      <c r="O25" s="142" t="s">
        <v>344</v>
      </c>
      <c r="P25" s="123">
        <v>5000</v>
      </c>
      <c r="Q25" s="151">
        <f>+P25/$P$43</f>
        <v>0.01247828777926408</v>
      </c>
      <c r="R25" s="151">
        <f>+P25/($P$43-$P$7)</f>
        <v>0.026219742417250492</v>
      </c>
      <c r="S25" s="143" t="s">
        <v>340</v>
      </c>
      <c r="T25" s="199" t="s">
        <v>345</v>
      </c>
      <c r="U25" s="135"/>
      <c r="V25" s="151"/>
      <c r="W25" s="154"/>
      <c r="X25" s="147" t="s">
        <v>341</v>
      </c>
      <c r="Y25" s="147" t="s">
        <v>342</v>
      </c>
      <c r="Z25" s="122"/>
      <c r="AA25" s="154"/>
      <c r="AB25" s="147"/>
      <c r="AC25" s="215">
        <v>0.1</v>
      </c>
    </row>
    <row r="26" spans="1:29" ht="15">
      <c r="A26" s="132"/>
      <c r="C26" s="154"/>
      <c r="D26" s="147"/>
      <c r="E26" s="124"/>
      <c r="F26" s="151"/>
      <c r="G26" s="144"/>
      <c r="H26" s="134"/>
      <c r="I26" s="151"/>
      <c r="J26" s="151"/>
      <c r="K26" s="144"/>
      <c r="M26" s="151"/>
      <c r="N26" s="154"/>
      <c r="O26" s="147"/>
      <c r="P26" s="135"/>
      <c r="Q26" s="196"/>
      <c r="R26" s="196"/>
      <c r="S26" s="200"/>
      <c r="T26" s="200"/>
      <c r="U26" s="135"/>
      <c r="V26" s="196"/>
      <c r="W26" s="154"/>
      <c r="X26" s="147"/>
      <c r="Y26" s="147"/>
      <c r="Z26" s="122"/>
      <c r="AA26" s="154"/>
      <c r="AB26" s="147"/>
      <c r="AC26" s="147"/>
    </row>
    <row r="27" spans="1:29" ht="15">
      <c r="A27" s="129" t="s">
        <v>346</v>
      </c>
      <c r="C27" s="154"/>
      <c r="D27" s="147"/>
      <c r="E27" s="124"/>
      <c r="F27" s="151"/>
      <c r="G27" s="144"/>
      <c r="H27" s="123">
        <v>30000</v>
      </c>
      <c r="I27" s="151">
        <f>H27/H$43</f>
        <v>0.10026737967914438</v>
      </c>
      <c r="J27" s="151">
        <f>H27/(H$43-H$19)</f>
        <v>0.3480278422273782</v>
      </c>
      <c r="K27" s="144" t="s">
        <v>347</v>
      </c>
      <c r="M27" s="151"/>
      <c r="N27" s="154"/>
      <c r="O27" s="144" t="s">
        <v>341</v>
      </c>
      <c r="P27" s="123">
        <f>SUM(P28:P31)</f>
        <v>125000</v>
      </c>
      <c r="Q27" s="151">
        <f>+P27/$P$43</f>
        <v>0.31195719448160203</v>
      </c>
      <c r="R27" s="151">
        <f>+P27/($P$43-$P$7)</f>
        <v>0.6554935604312623</v>
      </c>
      <c r="S27" s="199">
        <v>0.3</v>
      </c>
      <c r="T27" s="144" t="s">
        <v>348</v>
      </c>
      <c r="U27" s="123">
        <f>SUM(U28:U31)</f>
        <v>292000</v>
      </c>
      <c r="V27" s="151">
        <f>+U27/$U$43</f>
        <v>0.2848780487804878</v>
      </c>
      <c r="W27" s="151">
        <f>+U27/(+$U$43-$U$7)</f>
        <v>0.3767741935483871</v>
      </c>
      <c r="X27" s="145">
        <v>0.2</v>
      </c>
      <c r="Y27" s="147" t="s">
        <v>344</v>
      </c>
      <c r="Z27" s="122">
        <f>SUM(Z28:Z31)</f>
        <v>7731.200000000001</v>
      </c>
      <c r="AA27" s="151">
        <f>+Z27/$Z$43</f>
        <v>0.324458620110794</v>
      </c>
      <c r="AB27" s="147"/>
      <c r="AC27" s="215">
        <v>0.4</v>
      </c>
    </row>
    <row r="28" spans="1:29" ht="15">
      <c r="A28" s="172" t="s">
        <v>379</v>
      </c>
      <c r="B28" s="124">
        <f>+B11</f>
        <v>2080</v>
      </c>
      <c r="C28" s="152">
        <f>+B28/$B$43</f>
        <v>0.7796101949025487</v>
      </c>
      <c r="D28" s="145">
        <f>+(B11/2)/$B$43</f>
        <v>0.38980509745127434</v>
      </c>
      <c r="E28" s="124"/>
      <c r="F28" s="151"/>
      <c r="G28" s="144"/>
      <c r="H28" s="123"/>
      <c r="I28" s="151"/>
      <c r="J28" s="151"/>
      <c r="K28" s="144"/>
      <c r="M28" s="151"/>
      <c r="N28" s="154"/>
      <c r="O28" s="144"/>
      <c r="P28" s="123"/>
      <c r="Q28" s="151"/>
      <c r="R28" s="151"/>
      <c r="S28" s="199"/>
      <c r="T28" s="144"/>
      <c r="U28" s="123"/>
      <c r="V28" s="151"/>
      <c r="W28" s="151"/>
      <c r="X28" s="145"/>
      <c r="Y28" s="211" t="s">
        <v>410</v>
      </c>
      <c r="Z28" s="133">
        <f>+Z11*0.4</f>
        <v>7731.200000000001</v>
      </c>
      <c r="AA28" s="152">
        <f>+Z28/Z27</f>
        <v>1</v>
      </c>
      <c r="AB28" s="147"/>
      <c r="AC28" s="211" t="s">
        <v>410</v>
      </c>
    </row>
    <row r="29" spans="1:29" ht="15">
      <c r="A29" s="132" t="s">
        <v>349</v>
      </c>
      <c r="C29" s="154"/>
      <c r="D29" s="147"/>
      <c r="E29" s="124"/>
      <c r="F29" s="151"/>
      <c r="G29" s="144"/>
      <c r="H29" s="134">
        <v>30000</v>
      </c>
      <c r="I29" s="151"/>
      <c r="J29" s="151"/>
      <c r="K29" s="144"/>
      <c r="M29" s="151"/>
      <c r="N29" s="154"/>
      <c r="O29" s="147"/>
      <c r="P29" s="134">
        <v>75000</v>
      </c>
      <c r="Q29" s="187">
        <f>P29/P$27</f>
        <v>0.6</v>
      </c>
      <c r="R29" s="197"/>
      <c r="S29" s="201">
        <v>0.7</v>
      </c>
      <c r="T29" s="201"/>
      <c r="U29" s="134">
        <f>125000+142000</f>
        <v>267000</v>
      </c>
      <c r="V29" s="152">
        <f>+U29/$U$27</f>
        <v>0.9143835616438356</v>
      </c>
      <c r="W29" s="154"/>
      <c r="X29" s="147"/>
      <c r="Y29" s="147"/>
      <c r="Z29" s="122"/>
      <c r="AA29" s="154"/>
      <c r="AB29" s="147"/>
      <c r="AC29" s="142"/>
    </row>
    <row r="30" spans="1:29" ht="15">
      <c r="A30" s="132" t="s">
        <v>350</v>
      </c>
      <c r="C30" s="154"/>
      <c r="D30" s="147"/>
      <c r="E30" s="124"/>
      <c r="F30" s="151"/>
      <c r="G30" s="144"/>
      <c r="H30" s="134"/>
      <c r="I30" s="151"/>
      <c r="J30" s="151"/>
      <c r="K30" s="144"/>
      <c r="M30" s="151"/>
      <c r="N30" s="154"/>
      <c r="O30" s="144"/>
      <c r="P30" s="135"/>
      <c r="Q30" s="151"/>
      <c r="R30" s="196"/>
      <c r="S30" s="201">
        <v>0.2</v>
      </c>
      <c r="T30" s="201"/>
      <c r="U30" s="135"/>
      <c r="V30" s="154"/>
      <c r="W30" s="154"/>
      <c r="X30" s="147"/>
      <c r="Y30" s="147"/>
      <c r="Z30" s="122"/>
      <c r="AA30" s="154"/>
      <c r="AB30" s="147"/>
      <c r="AC30" s="142"/>
    </row>
    <row r="31" spans="1:29" ht="15">
      <c r="A31" s="132" t="s">
        <v>351</v>
      </c>
      <c r="C31" s="154"/>
      <c r="D31" s="147"/>
      <c r="E31" s="124"/>
      <c r="F31" s="151"/>
      <c r="G31" s="144"/>
      <c r="H31" s="134"/>
      <c r="I31" s="151"/>
      <c r="J31" s="151"/>
      <c r="K31" s="144"/>
      <c r="M31" s="151"/>
      <c r="N31" s="154"/>
      <c r="O31" s="144"/>
      <c r="P31" s="134">
        <f>+P11-P29</f>
        <v>50000</v>
      </c>
      <c r="Q31" s="187">
        <f>P31/P$27</f>
        <v>0.4</v>
      </c>
      <c r="R31" s="197"/>
      <c r="S31" s="201">
        <v>0.1</v>
      </c>
      <c r="T31" s="201"/>
      <c r="U31" s="134">
        <v>25000</v>
      </c>
      <c r="V31" s="152">
        <f>+U31/$U$27</f>
        <v>0.08561643835616438</v>
      </c>
      <c r="W31" s="154"/>
      <c r="X31" s="147"/>
      <c r="Y31" s="147"/>
      <c r="Z31" s="122"/>
      <c r="AA31" s="154"/>
      <c r="AB31" s="147"/>
      <c r="AC31" s="142"/>
    </row>
    <row r="32" spans="1:29" ht="15">
      <c r="A32" s="132"/>
      <c r="C32" s="154"/>
      <c r="D32" s="147"/>
      <c r="E32" s="124"/>
      <c r="F32" s="151"/>
      <c r="G32" s="144"/>
      <c r="H32" s="134"/>
      <c r="I32" s="151"/>
      <c r="J32" s="151"/>
      <c r="K32" s="144"/>
      <c r="M32" s="151"/>
      <c r="N32" s="154"/>
      <c r="O32" s="144"/>
      <c r="P32" s="134"/>
      <c r="Q32" s="187"/>
      <c r="R32" s="197"/>
      <c r="S32" s="201"/>
      <c r="T32" s="201"/>
      <c r="U32" s="134"/>
      <c r="V32" s="154"/>
      <c r="W32" s="154"/>
      <c r="X32" s="147"/>
      <c r="Y32" s="147"/>
      <c r="Z32" s="122"/>
      <c r="AA32" s="154"/>
      <c r="AB32" s="147"/>
      <c r="AC32" s="142"/>
    </row>
    <row r="33" spans="1:29" ht="15">
      <c r="A33" s="129" t="s">
        <v>352</v>
      </c>
      <c r="C33" s="154"/>
      <c r="D33" s="147"/>
      <c r="E33" s="124"/>
      <c r="F33" s="151"/>
      <c r="G33" s="144"/>
      <c r="H33" s="134"/>
      <c r="I33" s="151"/>
      <c r="J33" s="151"/>
      <c r="K33" s="144" t="s">
        <v>345</v>
      </c>
      <c r="M33" s="151"/>
      <c r="N33" s="154"/>
      <c r="O33" s="144">
        <v>0.05</v>
      </c>
      <c r="P33" s="135"/>
      <c r="Q33" s="151"/>
      <c r="R33" s="196"/>
      <c r="S33" s="199">
        <v>0.1</v>
      </c>
      <c r="T33" s="144" t="s">
        <v>345</v>
      </c>
      <c r="U33" s="123">
        <f>20000+8000+5000</f>
        <v>33000</v>
      </c>
      <c r="V33" s="151">
        <f>+U33/$U$43</f>
        <v>0.03219512195121951</v>
      </c>
      <c r="W33" s="151">
        <f>+U33/(+$U$43-$U$7)</f>
        <v>0.04258064516129032</v>
      </c>
      <c r="X33" s="145">
        <v>0.05</v>
      </c>
      <c r="Y33" s="147" t="s">
        <v>340</v>
      </c>
      <c r="Z33" s="122">
        <f>+Z11*0.15</f>
        <v>2899.2</v>
      </c>
      <c r="AA33" s="151">
        <f>+Z33/$Z$43</f>
        <v>0.12167198254154774</v>
      </c>
      <c r="AB33" s="147"/>
      <c r="AC33" s="215" t="s">
        <v>345</v>
      </c>
    </row>
    <row r="34" spans="1:29" ht="15">
      <c r="A34" s="132"/>
      <c r="C34" s="154"/>
      <c r="D34" s="147"/>
      <c r="E34" s="124"/>
      <c r="F34" s="151"/>
      <c r="G34" s="146"/>
      <c r="H34" s="134"/>
      <c r="I34" s="151"/>
      <c r="J34" s="151"/>
      <c r="K34" s="144"/>
      <c r="M34" s="151"/>
      <c r="N34" s="154"/>
      <c r="O34" s="147"/>
      <c r="P34" s="135"/>
      <c r="Q34" s="151"/>
      <c r="R34" s="196"/>
      <c r="S34" s="200"/>
      <c r="T34" s="200"/>
      <c r="U34" s="135"/>
      <c r="V34" s="154"/>
      <c r="W34" s="154"/>
      <c r="X34" s="147"/>
      <c r="Y34" s="147"/>
      <c r="Z34" s="122"/>
      <c r="AA34" s="154"/>
      <c r="AB34" s="147"/>
      <c r="AC34" s="142"/>
    </row>
    <row r="35" spans="1:29" ht="15">
      <c r="A35" s="129" t="s">
        <v>353</v>
      </c>
      <c r="C35" s="154"/>
      <c r="D35" s="147"/>
      <c r="E35" s="124"/>
      <c r="F35" s="151"/>
      <c r="G35" s="146"/>
      <c r="H35" s="134"/>
      <c r="I35" s="151"/>
      <c r="J35" s="151"/>
      <c r="K35" s="144">
        <v>0.05</v>
      </c>
      <c r="M35" s="151"/>
      <c r="N35" s="154"/>
      <c r="O35" s="147"/>
      <c r="P35" s="135"/>
      <c r="Q35" s="151"/>
      <c r="R35" s="196"/>
      <c r="S35" s="199">
        <v>0.05</v>
      </c>
      <c r="T35" s="144" t="s">
        <v>340</v>
      </c>
      <c r="U35" s="135"/>
      <c r="V35" s="154"/>
      <c r="W35" s="154"/>
      <c r="X35" s="147"/>
      <c r="Y35" s="147"/>
      <c r="Z35" s="122">
        <f>+Z11*0.05</f>
        <v>966.4000000000001</v>
      </c>
      <c r="AA35" s="151">
        <f>+Z35/$Z$43</f>
        <v>0.04055732751384925</v>
      </c>
      <c r="AB35" s="147"/>
      <c r="AC35" s="215">
        <v>0.05</v>
      </c>
    </row>
    <row r="36" spans="1:29" ht="15">
      <c r="A36" s="132"/>
      <c r="C36" s="154"/>
      <c r="D36" s="147"/>
      <c r="E36" s="124"/>
      <c r="F36" s="151"/>
      <c r="G36" s="146"/>
      <c r="H36" s="134"/>
      <c r="I36" s="151"/>
      <c r="J36" s="151"/>
      <c r="K36" s="144"/>
      <c r="M36" s="151"/>
      <c r="N36" s="154"/>
      <c r="O36" s="147"/>
      <c r="P36" s="135"/>
      <c r="Q36" s="151"/>
      <c r="R36" s="196"/>
      <c r="S36" s="200"/>
      <c r="T36" s="200"/>
      <c r="U36" s="135"/>
      <c r="V36" s="154"/>
      <c r="W36" s="154"/>
      <c r="X36" s="147"/>
      <c r="Y36" s="147"/>
      <c r="Z36" s="122"/>
      <c r="AA36" s="154"/>
      <c r="AB36" s="147"/>
      <c r="AC36" s="142"/>
    </row>
    <row r="37" spans="1:29" ht="15">
      <c r="A37" s="129" t="s">
        <v>354</v>
      </c>
      <c r="B37" s="136"/>
      <c r="C37" s="155"/>
      <c r="D37" s="148"/>
      <c r="E37" s="136"/>
      <c r="F37" s="151"/>
      <c r="G37" s="148"/>
      <c r="H37" s="136"/>
      <c r="I37" s="151"/>
      <c r="J37" s="151"/>
      <c r="K37" s="144">
        <v>0</v>
      </c>
      <c r="M37" s="151"/>
      <c r="N37" s="154"/>
      <c r="O37" s="147"/>
      <c r="Q37" s="151"/>
      <c r="R37" s="154"/>
      <c r="S37" s="144">
        <v>0.05</v>
      </c>
      <c r="T37" s="144" t="s">
        <v>340</v>
      </c>
      <c r="U37" s="135"/>
      <c r="V37" s="154"/>
      <c r="W37" s="154"/>
      <c r="X37" s="147"/>
      <c r="Y37" s="147"/>
      <c r="Z37" s="122"/>
      <c r="AA37" s="154"/>
      <c r="AB37" s="147"/>
      <c r="AC37" s="142"/>
    </row>
    <row r="38" spans="1:29" ht="15">
      <c r="A38" s="137"/>
      <c r="C38" s="154"/>
      <c r="D38" s="147"/>
      <c r="F38" s="151"/>
      <c r="G38" s="147"/>
      <c r="I38" s="151"/>
      <c r="J38" s="151"/>
      <c r="K38" s="147"/>
      <c r="L38" s="124"/>
      <c r="M38" s="151"/>
      <c r="N38" s="153"/>
      <c r="O38" s="147"/>
      <c r="Q38" s="151"/>
      <c r="R38" s="154"/>
      <c r="S38" s="147"/>
      <c r="T38" s="147"/>
      <c r="U38" s="124"/>
      <c r="V38" s="154"/>
      <c r="W38" s="154"/>
      <c r="X38" s="147"/>
      <c r="Y38" s="147"/>
      <c r="Z38" s="122"/>
      <c r="AA38" s="154"/>
      <c r="AB38" s="147"/>
      <c r="AC38" s="142"/>
    </row>
    <row r="39" spans="1:29" ht="15">
      <c r="A39" s="129" t="s">
        <v>355</v>
      </c>
      <c r="C39" s="154"/>
      <c r="D39" s="147"/>
      <c r="F39" s="154"/>
      <c r="G39" s="147"/>
      <c r="H39" s="127"/>
      <c r="I39" s="151"/>
      <c r="J39" s="151"/>
      <c r="K39" s="144">
        <v>0</v>
      </c>
      <c r="L39" s="127"/>
      <c r="M39" s="151"/>
      <c r="N39" s="152"/>
      <c r="O39" s="147"/>
      <c r="P39" s="137"/>
      <c r="Q39" s="151"/>
      <c r="R39" s="198"/>
      <c r="S39" s="202"/>
      <c r="T39" s="202"/>
      <c r="U39" s="127"/>
      <c r="V39" s="154"/>
      <c r="W39" s="154"/>
      <c r="X39" s="147"/>
      <c r="Y39" s="147"/>
      <c r="Z39" s="122"/>
      <c r="AA39" s="154"/>
      <c r="AB39" s="147"/>
      <c r="AC39" s="142"/>
    </row>
    <row r="40" spans="1:29" ht="15">
      <c r="A40" s="137"/>
      <c r="C40" s="154"/>
      <c r="D40" s="147"/>
      <c r="F40" s="154"/>
      <c r="G40" s="147"/>
      <c r="I40" s="151"/>
      <c r="J40" s="151"/>
      <c r="K40" s="144"/>
      <c r="M40" s="151"/>
      <c r="N40" s="154"/>
      <c r="O40" s="147"/>
      <c r="Q40" s="151"/>
      <c r="R40" s="154"/>
      <c r="S40" s="147"/>
      <c r="T40" s="147"/>
      <c r="V40" s="154"/>
      <c r="W40" s="154"/>
      <c r="X40" s="147"/>
      <c r="Y40" s="147"/>
      <c r="Z40" s="122"/>
      <c r="AA40" s="154"/>
      <c r="AB40" s="147"/>
      <c r="AC40" s="142"/>
    </row>
    <row r="41" spans="1:29" ht="15">
      <c r="A41" s="129" t="s">
        <v>356</v>
      </c>
      <c r="B41" s="136"/>
      <c r="C41" s="155"/>
      <c r="D41" s="148"/>
      <c r="E41" s="136"/>
      <c r="F41" s="155"/>
      <c r="G41" s="148"/>
      <c r="I41" s="151"/>
      <c r="J41" s="151"/>
      <c r="K41" s="144">
        <v>0</v>
      </c>
      <c r="M41" s="151"/>
      <c r="N41" s="154"/>
      <c r="O41" s="147"/>
      <c r="Q41" s="151"/>
      <c r="R41" s="154"/>
      <c r="S41" s="147"/>
      <c r="T41" s="147"/>
      <c r="V41" s="154"/>
      <c r="W41" s="154"/>
      <c r="X41" s="147"/>
      <c r="Y41" s="147"/>
      <c r="Z41" s="122"/>
      <c r="AA41" s="154"/>
      <c r="AB41" s="147"/>
      <c r="AC41" s="215" t="s">
        <v>409</v>
      </c>
    </row>
    <row r="42" spans="1:29" ht="15">
      <c r="A42" s="137"/>
      <c r="C42" s="154"/>
      <c r="D42" s="147"/>
      <c r="F42" s="154"/>
      <c r="G42" s="147"/>
      <c r="H42" s="124"/>
      <c r="I42" s="151"/>
      <c r="J42" s="151"/>
      <c r="K42" s="144"/>
      <c r="M42" s="151"/>
      <c r="N42" s="154"/>
      <c r="O42" s="147"/>
      <c r="Q42" s="154"/>
      <c r="R42" s="154"/>
      <c r="S42" s="147"/>
      <c r="T42" s="147"/>
      <c r="U42" s="124"/>
      <c r="V42" s="154"/>
      <c r="W42" s="154"/>
      <c r="X42" s="147"/>
      <c r="Y42" s="147"/>
      <c r="Z42" s="122"/>
      <c r="AA42" s="154"/>
      <c r="AB42" s="147"/>
      <c r="AC42" s="147"/>
    </row>
    <row r="43" spans="1:29" ht="15">
      <c r="A43" s="138" t="s">
        <v>357</v>
      </c>
      <c r="B43" s="124">
        <f>+B28+B20</f>
        <v>2668</v>
      </c>
      <c r="C43" s="152">
        <f>SUM(C20:C42)</f>
        <v>1</v>
      </c>
      <c r="D43" s="145">
        <f>SUM(D20:D42)</f>
        <v>1</v>
      </c>
      <c r="E43" s="124">
        <f>E20+E21</f>
        <v>2500</v>
      </c>
      <c r="F43" s="152">
        <f>SUM(F20:F42)</f>
        <v>1</v>
      </c>
      <c r="G43" s="145">
        <f>SUM(G20:G42)</f>
        <v>1</v>
      </c>
      <c r="H43" s="124">
        <f>+H19+H20+H21+H24+H25+H27+H33+H35+H37+H39+H41</f>
        <v>299200</v>
      </c>
      <c r="I43" s="152">
        <f>+I19+I20+I21+I24+I25+I27+I33+I35+I37+I39+I41</f>
        <v>1.733155080213904</v>
      </c>
      <c r="J43" s="152">
        <f>+J19+J20+J21+J24+J25+J27+J33+J35+J37+J39+J41</f>
        <v>0.7679814385150812</v>
      </c>
      <c r="K43" s="144">
        <v>1</v>
      </c>
      <c r="L43" s="124">
        <f>+L7+L20+L21+L24+L25+L27+L33+L35+L37+L39+L41</f>
        <v>385100</v>
      </c>
      <c r="M43" s="152">
        <f>+M19+M20+M21+M24+M25+M27+M33+M35+M37+M39+M41</f>
        <v>1</v>
      </c>
      <c r="N43" s="152">
        <f>+N19+N20+N21+N24+N25+N27+N33+N35+N37+N39+N41</f>
        <v>1</v>
      </c>
      <c r="O43" s="147">
        <v>100</v>
      </c>
      <c r="P43" s="124">
        <f>+P7+P20+P21+P27+P33+P35+P37+P39+P41+P25</f>
        <v>400696</v>
      </c>
      <c r="Q43" s="152">
        <f>+Q19+Q20+Q21+Q24+Q25+Q27+Q33+Q35+Q37+Q39+Q41</f>
        <v>1.0873480144548484</v>
      </c>
      <c r="R43" s="152">
        <f>+R19+R20+R21+R24+R25+R27+R33+R35+R37+R39+R41</f>
        <v>1.1835381969207535</v>
      </c>
      <c r="S43" s="147"/>
      <c r="T43" s="145"/>
      <c r="U43" s="124">
        <f>+U19+U20+U21+U24+U25+U27+U33+U35+U37+U39+U41</f>
        <v>1025000</v>
      </c>
      <c r="V43" s="152">
        <f>+V19+V20+V21+V24+V25+V27+V33+V35+V37+V39+V41</f>
        <v>1</v>
      </c>
      <c r="W43" s="152">
        <f>+W19+W20+W21+W24+W25+W27+W33+W35+W37+W39+W41</f>
        <v>0.9999999999999999</v>
      </c>
      <c r="X43" s="147"/>
      <c r="Y43" s="147"/>
      <c r="Z43" s="122">
        <f>+Z19+Z20+Z21+Z24+Z25+Z27+Z33+Z35+Z37+Z39+Z41</f>
        <v>23828.000000000004</v>
      </c>
      <c r="AA43" s="152">
        <f>+AA19+AA20+AA21+AA24+AA25+AA27+AA33+AA35+AA37+AA39+AA41</f>
        <v>0.9999999999999999</v>
      </c>
      <c r="AB43" s="147"/>
      <c r="AC43" s="145"/>
    </row>
    <row r="44" spans="1:29" ht="15">
      <c r="A44" s="195" t="s">
        <v>405</v>
      </c>
      <c r="B44" s="124"/>
      <c r="C44" s="152"/>
      <c r="D44" s="145"/>
      <c r="E44" s="124"/>
      <c r="F44" s="152"/>
      <c r="G44" s="145"/>
      <c r="H44" s="124"/>
      <c r="I44" s="151"/>
      <c r="J44" s="151"/>
      <c r="K44" s="144"/>
      <c r="L44" s="124"/>
      <c r="M44" s="151"/>
      <c r="N44" s="152"/>
      <c r="O44" s="147"/>
      <c r="P44" s="139"/>
      <c r="Q44" s="152"/>
      <c r="R44" s="152"/>
      <c r="S44" s="147"/>
      <c r="T44" s="145"/>
      <c r="U44" s="122"/>
      <c r="V44" s="152"/>
      <c r="W44" s="152"/>
      <c r="X44" s="147"/>
      <c r="Y44" s="147"/>
      <c r="Z44" s="122"/>
      <c r="AA44" s="154"/>
      <c r="AB44" s="147"/>
      <c r="AC44" s="147"/>
    </row>
    <row r="45" spans="1:29" ht="15">
      <c r="A45" s="191" t="s">
        <v>403</v>
      </c>
      <c r="B45" s="124">
        <f>+B43-B46-B47</f>
        <v>588</v>
      </c>
      <c r="C45" s="152">
        <f>+B45/$B$43</f>
        <v>0.22038980509745126</v>
      </c>
      <c r="D45" s="145"/>
      <c r="E45" s="124">
        <f>+E43-E46-E47</f>
        <v>2500</v>
      </c>
      <c r="F45" s="152">
        <f>+E45/$E$43</f>
        <v>1</v>
      </c>
      <c r="G45" s="145"/>
      <c r="H45" s="124">
        <f>+H43-H46-H47</f>
        <v>26200</v>
      </c>
      <c r="I45" s="187">
        <f>+H45/$H$43</f>
        <v>0.0875668449197861</v>
      </c>
      <c r="J45" s="151"/>
      <c r="K45" s="144"/>
      <c r="L45" s="124">
        <f>+L43-L46-L47</f>
        <v>140100</v>
      </c>
      <c r="M45" s="187">
        <f>+L45/L43</f>
        <v>0.363801609971436</v>
      </c>
      <c r="N45" s="152"/>
      <c r="O45" s="147"/>
      <c r="P45" s="124">
        <f>+P43-P46-P47</f>
        <v>25696</v>
      </c>
      <c r="Q45" s="187">
        <f>+P45/P43</f>
        <v>0.06412841655519397</v>
      </c>
      <c r="R45" s="152"/>
      <c r="S45" s="147"/>
      <c r="T45" s="145"/>
      <c r="U45" s="122">
        <f>+U43-U46-U47</f>
        <v>590000</v>
      </c>
      <c r="V45" s="152">
        <f>+U45/$U$43</f>
        <v>0.5756097560975609</v>
      </c>
      <c r="W45" s="152"/>
      <c r="X45" s="147"/>
      <c r="Y45" s="147"/>
      <c r="Z45" s="122">
        <f>+Z43-Z47-Z46</f>
        <v>4500.000000000004</v>
      </c>
      <c r="AA45" s="154"/>
      <c r="AB45" s="147"/>
      <c r="AC45" s="147"/>
    </row>
    <row r="46" spans="1:29" ht="15">
      <c r="A46" s="191" t="s">
        <v>404</v>
      </c>
      <c r="B46" s="124">
        <f>+B11+B13</f>
        <v>2080</v>
      </c>
      <c r="C46" s="152">
        <f>+B46/$B$43</f>
        <v>0.7796101949025487</v>
      </c>
      <c r="D46" s="147"/>
      <c r="E46" s="124">
        <f>+E11+E13</f>
        <v>0</v>
      </c>
      <c r="F46" s="152">
        <f>+E46/$E$43</f>
        <v>0</v>
      </c>
      <c r="G46" s="147"/>
      <c r="H46" s="124">
        <f>+H11+H13</f>
        <v>60000</v>
      </c>
      <c r="I46" s="187">
        <f>+H46/$H$43</f>
        <v>0.20053475935828877</v>
      </c>
      <c r="J46" s="153"/>
      <c r="K46" s="146"/>
      <c r="L46" s="124">
        <f>+L11+L13</f>
        <v>0</v>
      </c>
      <c r="M46" s="187">
        <f>+L46/$H$43</f>
        <v>0</v>
      </c>
      <c r="N46" s="154"/>
      <c r="O46" s="147"/>
      <c r="P46" s="124">
        <f>+P11+P13</f>
        <v>165000</v>
      </c>
      <c r="Q46" s="187">
        <f>+P46/$H$43</f>
        <v>0.5514705882352942</v>
      </c>
      <c r="R46" s="154"/>
      <c r="S46" s="147"/>
      <c r="T46" s="147"/>
      <c r="U46" s="122">
        <f>+U11+U13</f>
        <v>185000</v>
      </c>
      <c r="V46" s="152">
        <f>+U46/$U$43</f>
        <v>0.18048780487804877</v>
      </c>
      <c r="W46" s="154"/>
      <c r="X46" s="147"/>
      <c r="Y46" s="147"/>
      <c r="Z46" s="122">
        <f>+Z11+Z13</f>
        <v>19328</v>
      </c>
      <c r="AA46" s="154"/>
      <c r="AB46" s="147"/>
      <c r="AC46" s="147"/>
    </row>
    <row r="47" spans="1:29" ht="15">
      <c r="A47" s="191" t="s">
        <v>406</v>
      </c>
      <c r="B47" s="124">
        <f>+B7</f>
        <v>0</v>
      </c>
      <c r="C47" s="156">
        <f>+B47/$B$43</f>
        <v>0</v>
      </c>
      <c r="D47" s="182"/>
      <c r="E47" s="124">
        <f>+E7</f>
        <v>0</v>
      </c>
      <c r="F47" s="156">
        <f>+E47/$E$43</f>
        <v>0</v>
      </c>
      <c r="G47" s="182"/>
      <c r="H47" s="124">
        <f>+H7</f>
        <v>213000</v>
      </c>
      <c r="I47" s="188">
        <f>+H47/$H$43</f>
        <v>0.7118983957219251</v>
      </c>
      <c r="J47" s="184"/>
      <c r="K47" s="186"/>
      <c r="L47" s="124">
        <f>+L7</f>
        <v>245000</v>
      </c>
      <c r="M47" s="188">
        <f>+L47/L43</f>
        <v>0.636198390028564</v>
      </c>
      <c r="N47" s="179"/>
      <c r="O47" s="182"/>
      <c r="P47" s="124">
        <f>+P7</f>
        <v>210000</v>
      </c>
      <c r="Q47" s="188">
        <f>+P47/P43</f>
        <v>0.5240880867290914</v>
      </c>
      <c r="R47" s="179"/>
      <c r="S47" s="182"/>
      <c r="T47" s="182"/>
      <c r="U47" s="122">
        <f>+U7</f>
        <v>250000</v>
      </c>
      <c r="V47" s="156">
        <f>+U47/$U$43</f>
        <v>0.24390243902439024</v>
      </c>
      <c r="W47" s="179"/>
      <c r="X47" s="182"/>
      <c r="Y47" s="182"/>
      <c r="Z47" s="122">
        <f>+Z7</f>
        <v>0</v>
      </c>
      <c r="AA47" s="179"/>
      <c r="AB47" s="182"/>
      <c r="AC47" s="182"/>
    </row>
    <row r="48" spans="1:21" ht="15">
      <c r="A48" s="137"/>
      <c r="H48" s="124"/>
      <c r="I48" s="124"/>
      <c r="J48" s="124"/>
      <c r="K48" s="124"/>
      <c r="U48" s="124"/>
    </row>
    <row r="49" spans="1:15" ht="15">
      <c r="A49" s="219" t="s">
        <v>358</v>
      </c>
      <c r="B49" s="219"/>
      <c r="C49" s="219"/>
      <c r="D49" s="219"/>
      <c r="E49" s="219"/>
      <c r="F49" s="140"/>
      <c r="G49" s="140"/>
      <c r="H49" s="140"/>
      <c r="I49" s="140"/>
      <c r="J49" s="140"/>
      <c r="K49" s="140"/>
      <c r="L49" s="140"/>
      <c r="M49" s="140"/>
      <c r="N49" s="140"/>
      <c r="O49" s="124"/>
    </row>
    <row r="50" spans="1:21" ht="15">
      <c r="A50" s="218" t="s">
        <v>407</v>
      </c>
      <c r="B50" s="219"/>
      <c r="C50" s="219"/>
      <c r="D50" s="219"/>
      <c r="E50" s="219"/>
      <c r="L50" s="141"/>
      <c r="O50" s="127"/>
      <c r="P50" s="124"/>
      <c r="Q50" s="124"/>
      <c r="R50" s="124"/>
      <c r="S50" s="124"/>
      <c r="T50" s="124"/>
      <c r="U50" s="124"/>
    </row>
    <row r="51" spans="1:21" ht="15">
      <c r="A51" s="137"/>
      <c r="P51" s="124"/>
      <c r="Q51" s="124"/>
      <c r="R51" s="124"/>
      <c r="S51" s="126"/>
      <c r="T51" s="126"/>
      <c r="U51" s="133"/>
    </row>
    <row r="52" spans="1:21" ht="15">
      <c r="A52" s="137"/>
      <c r="U52" s="134"/>
    </row>
    <row r="53" spans="1:12" ht="15">
      <c r="A53" s="137"/>
      <c r="L53" s="141"/>
    </row>
    <row r="54" ht="15">
      <c r="O54" s="127"/>
    </row>
    <row r="80" ht="15">
      <c r="U80" s="141"/>
    </row>
    <row r="83" ht="15">
      <c r="U83" s="141"/>
    </row>
  </sheetData>
  <mergeCells count="10">
    <mergeCell ref="A50:E50"/>
    <mergeCell ref="Z2:AC2"/>
    <mergeCell ref="A49:E49"/>
    <mergeCell ref="A1:U1"/>
    <mergeCell ref="B2:D2"/>
    <mergeCell ref="H2:K2"/>
    <mergeCell ref="E2:G2"/>
    <mergeCell ref="L2:O2"/>
    <mergeCell ref="P2:T2"/>
    <mergeCell ref="U2:Y2"/>
  </mergeCells>
  <printOptions gridLines="1" headings="1"/>
  <pageMargins left="0.75" right="0.75" top="1" bottom="1" header="0.5" footer="0.5"/>
  <pageSetup fitToWidth="4" fitToHeight="1" horizontalDpi="600" verticalDpi="600" orientation="landscape" scale="73" r:id="rId3"/>
  <legacyDrawing r:id="rId2"/>
</worksheet>
</file>

<file path=xl/worksheets/sheet3.xml><?xml version="1.0" encoding="utf-8"?>
<worksheet xmlns="http://schemas.openxmlformats.org/spreadsheetml/2006/main" xmlns:r="http://schemas.openxmlformats.org/officeDocument/2006/relationships">
  <dimension ref="A1:K32"/>
  <sheetViews>
    <sheetView workbookViewId="0" topLeftCell="D1">
      <selection activeCell="T7" sqref="T7"/>
    </sheetView>
  </sheetViews>
  <sheetFormatPr defaultColWidth="9.140625" defaultRowHeight="12.75"/>
  <cols>
    <col min="1" max="1" width="37.7109375" style="0" customWidth="1"/>
    <col min="2" max="2" width="14.7109375" style="0" customWidth="1"/>
    <col min="4" max="4" width="29.7109375" style="0" customWidth="1"/>
    <col min="5" max="5" width="11.7109375" style="0" customWidth="1"/>
    <col min="7" max="7" width="20.7109375" style="0" customWidth="1"/>
  </cols>
  <sheetData>
    <row r="1" spans="1:4" ht="18">
      <c r="A1" s="85" t="s">
        <v>258</v>
      </c>
      <c r="B1" s="86"/>
      <c r="C1" s="86"/>
      <c r="D1" s="86"/>
    </row>
    <row r="2" ht="18">
      <c r="A2" s="53"/>
    </row>
    <row r="3" ht="15.75">
      <c r="A3" s="54" t="s">
        <v>216</v>
      </c>
    </row>
    <row r="4" ht="15.75">
      <c r="A4" s="54" t="s">
        <v>217</v>
      </c>
    </row>
    <row r="5" ht="15.75">
      <c r="A5" s="54" t="s">
        <v>218</v>
      </c>
    </row>
    <row r="6" ht="15.75">
      <c r="A6" s="55" t="s">
        <v>219</v>
      </c>
    </row>
    <row r="8" spans="1:11" ht="18.75">
      <c r="A8" s="56" t="s">
        <v>220</v>
      </c>
      <c r="B8" s="57"/>
      <c r="C8" s="58"/>
      <c r="D8" s="59" t="s">
        <v>221</v>
      </c>
      <c r="E8" s="60"/>
      <c r="F8" s="58"/>
      <c r="G8" s="61" t="s">
        <v>222</v>
      </c>
      <c r="H8" s="62"/>
      <c r="I8" s="62"/>
      <c r="J8" s="58"/>
      <c r="K8" s="58"/>
    </row>
    <row r="9" spans="1:11" ht="15.75">
      <c r="A9" s="63" t="s">
        <v>223</v>
      </c>
      <c r="B9" s="57"/>
      <c r="C9" s="58"/>
      <c r="D9" s="64" t="s">
        <v>224</v>
      </c>
      <c r="E9" s="64"/>
      <c r="F9" s="54"/>
      <c r="G9" s="62"/>
      <c r="H9" s="62"/>
      <c r="I9" s="62"/>
      <c r="J9" s="54"/>
      <c r="K9" s="58"/>
    </row>
    <row r="10" spans="1:11" ht="15.75">
      <c r="A10" s="63" t="s">
        <v>225</v>
      </c>
      <c r="B10" s="57"/>
      <c r="C10" s="58"/>
      <c r="D10" s="64" t="s">
        <v>226</v>
      </c>
      <c r="E10" s="64"/>
      <c r="F10" s="54"/>
      <c r="G10" s="227" t="s">
        <v>227</v>
      </c>
      <c r="H10" s="227"/>
      <c r="I10" s="66">
        <v>36464</v>
      </c>
      <c r="J10" s="54"/>
      <c r="K10" s="58"/>
    </row>
    <row r="11" spans="1:11" ht="15.75">
      <c r="A11" s="63" t="s">
        <v>228</v>
      </c>
      <c r="B11" s="57"/>
      <c r="C11" s="58"/>
      <c r="D11" s="64" t="s">
        <v>229</v>
      </c>
      <c r="E11" s="64"/>
      <c r="F11" s="54"/>
      <c r="G11" s="227" t="s">
        <v>230</v>
      </c>
      <c r="H11" s="227"/>
      <c r="I11" s="65" t="s">
        <v>231</v>
      </c>
      <c r="J11" s="54"/>
      <c r="K11" s="58"/>
    </row>
    <row r="12" spans="1:11" ht="15.75">
      <c r="A12" s="63" t="s">
        <v>232</v>
      </c>
      <c r="B12" s="57"/>
      <c r="C12" s="58"/>
      <c r="D12" s="64" t="s">
        <v>233</v>
      </c>
      <c r="E12" s="64"/>
      <c r="F12" s="54"/>
      <c r="G12" s="227" t="s">
        <v>234</v>
      </c>
      <c r="H12" s="227"/>
      <c r="I12" s="65" t="s">
        <v>235</v>
      </c>
      <c r="J12" s="54"/>
      <c r="K12" s="58"/>
    </row>
    <row r="13" spans="1:11" ht="15.75">
      <c r="A13" s="57"/>
      <c r="B13" s="57"/>
      <c r="C13" s="58"/>
      <c r="D13" s="64"/>
      <c r="E13" s="64"/>
      <c r="F13" s="54"/>
      <c r="G13" s="226" t="s">
        <v>236</v>
      </c>
      <c r="H13" s="226"/>
      <c r="I13" s="68"/>
      <c r="J13" s="54"/>
      <c r="K13" s="58"/>
    </row>
    <row r="14" spans="1:11" ht="15.75">
      <c r="A14" s="69" t="s">
        <v>237</v>
      </c>
      <c r="B14" s="70">
        <v>21805</v>
      </c>
      <c r="C14" s="58"/>
      <c r="D14" s="64" t="s">
        <v>238</v>
      </c>
      <c r="E14" s="71">
        <v>14659</v>
      </c>
      <c r="F14" s="54"/>
      <c r="G14" s="226"/>
      <c r="H14" s="226"/>
      <c r="I14" s="68"/>
      <c r="J14" s="54"/>
      <c r="K14" s="58"/>
    </row>
    <row r="15" spans="1:11" ht="15.75">
      <c r="A15" s="69" t="s">
        <v>239</v>
      </c>
      <c r="B15" s="72">
        <v>0.068</v>
      </c>
      <c r="C15" s="58"/>
      <c r="D15" s="64" t="s">
        <v>239</v>
      </c>
      <c r="E15" s="73">
        <v>0.05</v>
      </c>
      <c r="F15" s="54"/>
      <c r="G15" s="226"/>
      <c r="H15" s="226"/>
      <c r="I15" s="68"/>
      <c r="J15" s="54"/>
      <c r="K15" s="58"/>
    </row>
    <row r="16" spans="1:11" ht="15.75">
      <c r="A16" s="69" t="s">
        <v>240</v>
      </c>
      <c r="B16" s="74" t="s">
        <v>241</v>
      </c>
      <c r="C16" s="58"/>
      <c r="D16" s="64" t="s">
        <v>240</v>
      </c>
      <c r="E16" s="75" t="s">
        <v>242</v>
      </c>
      <c r="F16" s="54"/>
      <c r="G16" s="67" t="s">
        <v>243</v>
      </c>
      <c r="H16" s="76">
        <v>264</v>
      </c>
      <c r="I16" s="68"/>
      <c r="J16" s="54"/>
      <c r="K16" s="58"/>
    </row>
    <row r="17" spans="1:11" ht="15.75">
      <c r="A17" s="69" t="s">
        <v>244</v>
      </c>
      <c r="B17" s="77">
        <v>50</v>
      </c>
      <c r="C17" s="58"/>
      <c r="D17" s="64" t="s">
        <v>244</v>
      </c>
      <c r="E17" s="78">
        <v>40</v>
      </c>
      <c r="F17" s="54"/>
      <c r="G17" s="226" t="s">
        <v>245</v>
      </c>
      <c r="H17" s="226"/>
      <c r="I17" s="68"/>
      <c r="J17" s="54"/>
      <c r="K17" s="58"/>
    </row>
    <row r="18" spans="1:11" ht="15.75">
      <c r="A18" s="69"/>
      <c r="B18" s="69"/>
      <c r="C18" s="58"/>
      <c r="D18" s="64"/>
      <c r="E18" s="64"/>
      <c r="F18" s="54"/>
      <c r="G18" s="226"/>
      <c r="H18" s="226"/>
      <c r="I18" s="68"/>
      <c r="J18" s="54"/>
      <c r="K18" s="58"/>
    </row>
    <row r="19" spans="1:11" ht="15.75">
      <c r="A19" s="69" t="s">
        <v>246</v>
      </c>
      <c r="B19" s="79">
        <v>205.24</v>
      </c>
      <c r="C19" s="58"/>
      <c r="D19" s="64" t="s">
        <v>246</v>
      </c>
      <c r="E19" s="80">
        <v>222.74</v>
      </c>
      <c r="F19" s="54"/>
      <c r="G19" s="67" t="s">
        <v>247</v>
      </c>
      <c r="H19" s="76">
        <v>63330</v>
      </c>
      <c r="I19" s="68"/>
      <c r="J19" s="54"/>
      <c r="K19" s="58"/>
    </row>
    <row r="20" spans="1:11" ht="15.75">
      <c r="A20" s="69" t="s">
        <v>248</v>
      </c>
      <c r="B20" s="69">
        <v>300</v>
      </c>
      <c r="C20" s="58"/>
      <c r="D20" s="64" t="s">
        <v>248</v>
      </c>
      <c r="E20" s="64">
        <v>120</v>
      </c>
      <c r="F20" s="54"/>
      <c r="G20" s="226"/>
      <c r="H20" s="226"/>
      <c r="I20" s="68"/>
      <c r="J20" s="54"/>
      <c r="K20" s="58"/>
    </row>
    <row r="21" spans="1:11" ht="15.75">
      <c r="A21" s="69"/>
      <c r="B21" s="69"/>
      <c r="C21" s="58"/>
      <c r="D21" s="64"/>
      <c r="E21" s="64"/>
      <c r="F21" s="54"/>
      <c r="G21" s="67" t="s">
        <v>249</v>
      </c>
      <c r="H21" s="76">
        <v>26866</v>
      </c>
      <c r="I21" s="68"/>
      <c r="J21" s="54"/>
      <c r="K21" s="58"/>
    </row>
    <row r="22" spans="1:11" ht="15.75">
      <c r="A22" s="69" t="s">
        <v>250</v>
      </c>
      <c r="B22" s="77">
        <v>61569.74</v>
      </c>
      <c r="C22" s="58"/>
      <c r="D22" s="64" t="s">
        <v>250</v>
      </c>
      <c r="E22" s="78">
        <v>26728.42</v>
      </c>
      <c r="F22" s="54"/>
      <c r="G22" s="226"/>
      <c r="H22" s="226"/>
      <c r="I22" s="68"/>
      <c r="J22" s="54"/>
      <c r="K22" s="58"/>
    </row>
    <row r="23" spans="1:11" ht="15.75">
      <c r="A23" s="69" t="s">
        <v>251</v>
      </c>
      <c r="B23" s="77">
        <v>31999.74</v>
      </c>
      <c r="C23" s="58"/>
      <c r="D23" s="64" t="s">
        <v>251</v>
      </c>
      <c r="E23" s="78">
        <v>5728.42</v>
      </c>
      <c r="F23" s="54"/>
      <c r="G23" s="67" t="s">
        <v>252</v>
      </c>
      <c r="H23" s="67">
        <v>240</v>
      </c>
      <c r="I23" s="68"/>
      <c r="J23" s="54"/>
      <c r="K23" s="58"/>
    </row>
    <row r="24" spans="1:11" ht="15.75">
      <c r="A24" s="58"/>
      <c r="B24" s="58"/>
      <c r="C24" s="58"/>
      <c r="D24" s="54"/>
      <c r="E24" s="81"/>
      <c r="F24" s="54"/>
      <c r="G24" s="54"/>
      <c r="H24" s="54"/>
      <c r="I24" s="54"/>
      <c r="J24" s="54"/>
      <c r="K24" s="58"/>
    </row>
    <row r="25" spans="1:11" ht="15.75">
      <c r="A25" s="58"/>
      <c r="B25" s="58"/>
      <c r="C25" s="58"/>
      <c r="D25" s="54" t="s">
        <v>253</v>
      </c>
      <c r="E25" s="81"/>
      <c r="F25" s="54"/>
      <c r="G25" s="54"/>
      <c r="H25" s="54"/>
      <c r="I25" s="54"/>
      <c r="J25" s="54"/>
      <c r="K25" s="58"/>
    </row>
    <row r="26" spans="1:3" ht="12.75">
      <c r="A26" s="58"/>
      <c r="B26" s="58"/>
      <c r="C26" s="58"/>
    </row>
    <row r="27" spans="1:11" ht="12.75">
      <c r="A27" s="58"/>
      <c r="B27" s="58"/>
      <c r="C27" s="58"/>
      <c r="D27" s="58"/>
      <c r="E27" s="82"/>
      <c r="F27" s="58"/>
      <c r="G27" s="58"/>
      <c r="H27" s="58"/>
      <c r="I27" s="58"/>
      <c r="J27" s="58"/>
      <c r="K27" s="58"/>
    </row>
    <row r="28" spans="1:11" ht="12.75">
      <c r="A28" s="58"/>
      <c r="B28" s="58"/>
      <c r="C28" s="58"/>
      <c r="D28" s="58"/>
      <c r="E28" s="82"/>
      <c r="F28" s="58"/>
      <c r="G28" s="58"/>
      <c r="H28" s="58"/>
      <c r="I28" s="58"/>
      <c r="J28" s="58"/>
      <c r="K28" s="58"/>
    </row>
    <row r="29" spans="1:11" ht="15.75">
      <c r="A29" s="83" t="s">
        <v>254</v>
      </c>
      <c r="B29" s="54"/>
      <c r="C29" s="54"/>
      <c r="D29" s="54"/>
      <c r="E29" s="58"/>
      <c r="F29" s="58"/>
      <c r="G29" s="58"/>
      <c r="H29" s="58"/>
      <c r="I29" s="58"/>
      <c r="J29" s="58"/>
      <c r="K29" s="58"/>
    </row>
    <row r="30" spans="1:11" ht="15.75">
      <c r="A30" s="83" t="s">
        <v>255</v>
      </c>
      <c r="B30" s="54"/>
      <c r="C30" s="54"/>
      <c r="D30" s="54"/>
      <c r="E30" s="58"/>
      <c r="F30" s="58"/>
      <c r="G30" s="58"/>
      <c r="H30" s="58"/>
      <c r="I30" s="58"/>
      <c r="J30" s="58"/>
      <c r="K30" s="58"/>
    </row>
    <row r="31" ht="12.75">
      <c r="A31" s="84" t="s">
        <v>256</v>
      </c>
    </row>
    <row r="32" ht="15.75">
      <c r="A32" s="54" t="s">
        <v>257</v>
      </c>
    </row>
  </sheetData>
  <mergeCells count="10">
    <mergeCell ref="G10:H10"/>
    <mergeCell ref="G11:H11"/>
    <mergeCell ref="G12:H12"/>
    <mergeCell ref="G13:H13"/>
    <mergeCell ref="G20:H20"/>
    <mergeCell ref="G22:H22"/>
    <mergeCell ref="G14:H14"/>
    <mergeCell ref="G15:H15"/>
    <mergeCell ref="G17:H17"/>
    <mergeCell ref="G18:H18"/>
  </mergeCells>
  <hyperlinks>
    <hyperlink ref="A31" r:id="rId1" display="http://www.salliemae.com/get_student_loan/find_student_loan/grad/compare/"/>
  </hyperlinks>
  <printOptions/>
  <pageMargins left="0.75" right="0.75" top="1" bottom="1" header="0.5" footer="0.5"/>
  <pageSetup orientation="portrait" paperSize="9"/>
  <drawing r:id="rId2"/>
</worksheet>
</file>

<file path=xl/worksheets/sheet4.xml><?xml version="1.0" encoding="utf-8"?>
<worksheet xmlns="http://schemas.openxmlformats.org/spreadsheetml/2006/main" xmlns:r="http://schemas.openxmlformats.org/officeDocument/2006/relationships">
  <dimension ref="A1:F72"/>
  <sheetViews>
    <sheetView workbookViewId="0" topLeftCell="B3">
      <selection activeCell="K12" sqref="K12"/>
    </sheetView>
  </sheetViews>
  <sheetFormatPr defaultColWidth="9.140625" defaultRowHeight="12.75"/>
  <cols>
    <col min="1" max="1" width="40.7109375" style="0" customWidth="1"/>
    <col min="2" max="4" width="15.7109375" style="0" customWidth="1"/>
    <col min="5" max="5" width="16.7109375" style="0" customWidth="1"/>
    <col min="6" max="6" width="15.7109375" style="0" customWidth="1"/>
  </cols>
  <sheetData>
    <row r="1" spans="1:6" ht="18">
      <c r="A1" s="89" t="s">
        <v>262</v>
      </c>
      <c r="B1" s="86"/>
      <c r="C1" s="86"/>
      <c r="D1" s="86"/>
      <c r="E1" s="86"/>
      <c r="F1" s="91"/>
    </row>
    <row r="3" spans="1:5" ht="12.75">
      <c r="A3" s="86" t="s">
        <v>264</v>
      </c>
      <c r="B3" s="86"/>
      <c r="C3" s="86"/>
      <c r="D3" s="86"/>
      <c r="E3" s="86"/>
    </row>
    <row r="4" spans="1:5" ht="12.75">
      <c r="A4" s="90" t="s">
        <v>265</v>
      </c>
      <c r="B4" s="86"/>
      <c r="C4" s="86"/>
      <c r="D4" s="86"/>
      <c r="E4" s="86"/>
    </row>
    <row r="5" spans="1:5" ht="12.75">
      <c r="A5" s="90" t="s">
        <v>279</v>
      </c>
      <c r="B5" s="86"/>
      <c r="C5" s="86"/>
      <c r="D5" s="86"/>
      <c r="E5" s="86"/>
    </row>
    <row r="6" ht="12.75">
      <c r="A6" s="17"/>
    </row>
    <row r="7" spans="1:5" ht="12.75">
      <c r="A7" s="95" t="s">
        <v>266</v>
      </c>
      <c r="B7" s="93" t="s">
        <v>278</v>
      </c>
      <c r="C7" s="94"/>
      <c r="D7" s="94"/>
      <c r="E7" s="94"/>
    </row>
    <row r="8" spans="1:5" ht="12.75">
      <c r="A8" s="96"/>
      <c r="B8" s="93" t="s">
        <v>267</v>
      </c>
      <c r="C8" s="94"/>
      <c r="D8" s="94"/>
      <c r="E8" s="94"/>
    </row>
    <row r="9" ht="12.75">
      <c r="A9" s="97"/>
    </row>
    <row r="10" spans="1:5" ht="12.75">
      <c r="A10" s="98" t="s">
        <v>268</v>
      </c>
      <c r="B10" s="94" t="s">
        <v>269</v>
      </c>
      <c r="C10" s="94"/>
      <c r="D10" s="94"/>
      <c r="E10" s="94"/>
    </row>
    <row r="11" spans="1:5" ht="12.75">
      <c r="A11" s="98"/>
      <c r="B11" s="93" t="s">
        <v>270</v>
      </c>
      <c r="C11" s="94"/>
      <c r="D11" s="94"/>
      <c r="E11" s="94"/>
    </row>
    <row r="12" ht="12.75">
      <c r="A12" s="97"/>
    </row>
    <row r="13" spans="1:5" ht="12.75">
      <c r="A13" s="98" t="s">
        <v>271</v>
      </c>
      <c r="B13" s="93" t="s">
        <v>272</v>
      </c>
      <c r="C13" s="94"/>
      <c r="D13" s="94"/>
      <c r="E13" s="94"/>
    </row>
    <row r="14" spans="1:5" ht="12.75">
      <c r="A14" s="98"/>
      <c r="B14" s="93" t="s">
        <v>273</v>
      </c>
      <c r="C14" s="94"/>
      <c r="D14" s="94"/>
      <c r="E14" s="94"/>
    </row>
    <row r="17" spans="1:5" ht="12.75">
      <c r="A17" s="114" t="s">
        <v>263</v>
      </c>
      <c r="B17" s="108">
        <v>30</v>
      </c>
      <c r="C17" s="108">
        <v>100</v>
      </c>
      <c r="D17" s="108">
        <v>200</v>
      </c>
      <c r="E17" s="108">
        <f>14000/26</f>
        <v>538.4615384615385</v>
      </c>
    </row>
    <row r="18" spans="1:6" ht="12.75">
      <c r="A18" s="107" t="s">
        <v>274</v>
      </c>
      <c r="B18" s="109">
        <f>+B17*26</f>
        <v>780</v>
      </c>
      <c r="C18" s="109">
        <f>+C17*26</f>
        <v>2600</v>
      </c>
      <c r="D18" s="109">
        <f>+D17*26</f>
        <v>5200</v>
      </c>
      <c r="E18" s="109">
        <f>+E17*26</f>
        <v>14000</v>
      </c>
      <c r="F18" s="17" t="s">
        <v>276</v>
      </c>
    </row>
    <row r="19" spans="1:6" ht="12.75">
      <c r="A19" s="107" t="s">
        <v>260</v>
      </c>
      <c r="B19" s="110">
        <f>+B18*0.5</f>
        <v>390</v>
      </c>
      <c r="C19" s="110">
        <f>+C18*0.5</f>
        <v>1300</v>
      </c>
      <c r="D19" s="110">
        <v>2148</v>
      </c>
      <c r="E19" s="110">
        <v>2148</v>
      </c>
      <c r="F19" s="17" t="s">
        <v>299</v>
      </c>
    </row>
    <row r="20" spans="1:5" ht="12.75">
      <c r="A20" s="111" t="s">
        <v>261</v>
      </c>
      <c r="B20" s="112">
        <f>+B19+B18</f>
        <v>1170</v>
      </c>
      <c r="C20" s="112">
        <f>+C19+C18</f>
        <v>3900</v>
      </c>
      <c r="D20" s="112">
        <f>+D19+D18</f>
        <v>7348</v>
      </c>
      <c r="E20" s="112">
        <f>+E19+E18</f>
        <v>16148</v>
      </c>
    </row>
    <row r="21" ht="12.75">
      <c r="A21" s="7"/>
    </row>
    <row r="22" spans="1:5" ht="12.75">
      <c r="A22" s="116" t="s">
        <v>296</v>
      </c>
      <c r="B22" s="105">
        <f>B45</f>
        <v>0.18057396691052716</v>
      </c>
      <c r="C22" s="105">
        <f>B54</f>
        <v>0.18057396691052738</v>
      </c>
      <c r="D22" s="105">
        <f>B72</f>
        <v>0.1594774013253307</v>
      </c>
      <c r="E22" s="105">
        <f>B63</f>
        <v>0.08887361775674898</v>
      </c>
    </row>
    <row r="24" spans="1:5" ht="25.5">
      <c r="A24" s="117" t="s">
        <v>275</v>
      </c>
      <c r="B24" s="106">
        <f>FV(6%,65-23,-B20,0,0)</f>
        <v>205862.13714601652</v>
      </c>
      <c r="C24" s="106">
        <f>FV(6%,65-23,-C20,0,0)</f>
        <v>686207.123820055</v>
      </c>
      <c r="D24" s="106">
        <f>FV(6%,65-23,-D20,0,0)</f>
        <v>1292884.6014948115</v>
      </c>
      <c r="E24" s="106">
        <f>FV(6%,65-23,-E20,0,0)</f>
        <v>2841249.3937041666</v>
      </c>
    </row>
    <row r="25" spans="1:2" ht="12.75">
      <c r="A25" s="18"/>
      <c r="B25" s="14"/>
    </row>
    <row r="26" spans="1:5" ht="127.5">
      <c r="A26" s="115" t="s">
        <v>297</v>
      </c>
      <c r="B26" s="113" t="s">
        <v>298</v>
      </c>
      <c r="C26" s="113" t="s">
        <v>308</v>
      </c>
      <c r="D26" s="113" t="s">
        <v>309</v>
      </c>
      <c r="E26" s="113" t="s">
        <v>300</v>
      </c>
    </row>
    <row r="27" spans="1:4" ht="12.75">
      <c r="A27" s="7"/>
      <c r="B27" s="99"/>
      <c r="C27" s="7"/>
      <c r="D27" s="7"/>
    </row>
    <row r="28" spans="1:5" ht="12.75">
      <c r="A28" s="96" t="s">
        <v>301</v>
      </c>
      <c r="B28" s="92" t="s">
        <v>302</v>
      </c>
      <c r="C28" s="94"/>
      <c r="D28" s="94"/>
      <c r="E28" s="94"/>
    </row>
    <row r="29" spans="1:5" ht="12.75">
      <c r="A29" s="96"/>
      <c r="B29" s="92" t="s">
        <v>303</v>
      </c>
      <c r="C29" s="94"/>
      <c r="D29" s="94"/>
      <c r="E29" s="94"/>
    </row>
    <row r="30" spans="1:5" ht="12.75">
      <c r="A30" s="98"/>
      <c r="B30" s="93" t="s">
        <v>304</v>
      </c>
      <c r="C30" s="94"/>
      <c r="D30" s="94"/>
      <c r="E30" s="94"/>
    </row>
    <row r="31" spans="1:5" ht="12.75">
      <c r="A31" s="98"/>
      <c r="B31" s="93" t="s">
        <v>307</v>
      </c>
      <c r="C31" s="94"/>
      <c r="D31" s="94"/>
      <c r="E31" s="94"/>
    </row>
    <row r="32" spans="1:5" ht="12.75">
      <c r="A32" s="98"/>
      <c r="B32" s="93" t="s">
        <v>305</v>
      </c>
      <c r="C32" s="94"/>
      <c r="D32" s="94"/>
      <c r="E32" s="94"/>
    </row>
    <row r="33" spans="1:5" ht="12.75">
      <c r="A33" s="98"/>
      <c r="B33" s="93" t="s">
        <v>306</v>
      </c>
      <c r="C33" s="94"/>
      <c r="D33" s="94"/>
      <c r="E33" s="94"/>
    </row>
    <row r="34" spans="1:4" ht="12.75">
      <c r="A34" s="7"/>
      <c r="B34" s="99"/>
      <c r="C34" s="7"/>
      <c r="D34" s="7"/>
    </row>
    <row r="35" spans="1:4" ht="12.75">
      <c r="A35" s="97" t="s">
        <v>277</v>
      </c>
      <c r="B35" s="100"/>
      <c r="C35" s="7"/>
      <c r="D35" s="7"/>
    </row>
    <row r="36" ht="12.75">
      <c r="A36" s="17" t="s">
        <v>280</v>
      </c>
    </row>
    <row r="38" spans="1:6" ht="38.25">
      <c r="A38" s="103" t="s">
        <v>292</v>
      </c>
      <c r="B38" s="104" t="s">
        <v>286</v>
      </c>
      <c r="C38" s="104" t="s">
        <v>287</v>
      </c>
      <c r="D38" s="104" t="s">
        <v>288</v>
      </c>
      <c r="E38" s="104" t="s">
        <v>289</v>
      </c>
      <c r="F38" s="7"/>
    </row>
    <row r="39" spans="1:5" ht="12.75">
      <c r="A39" t="s">
        <v>281</v>
      </c>
      <c r="B39" s="101">
        <f>-$B$18</f>
        <v>-780</v>
      </c>
      <c r="C39" s="101">
        <f>+$B$19</f>
        <v>390</v>
      </c>
      <c r="D39" s="102">
        <v>0</v>
      </c>
      <c r="E39" s="101">
        <f>+D39+C39-B39</f>
        <v>1170</v>
      </c>
    </row>
    <row r="40" spans="1:5" ht="12.75">
      <c r="A40" t="s">
        <v>282</v>
      </c>
      <c r="B40" s="101">
        <f>-$B$18</f>
        <v>-780</v>
      </c>
      <c r="C40" s="101">
        <f>+$B$19</f>
        <v>390</v>
      </c>
      <c r="D40" s="102">
        <f>+E39*0.06</f>
        <v>70.2</v>
      </c>
      <c r="E40" s="101">
        <f>+E39+D40+C40-B40</f>
        <v>2410.2</v>
      </c>
    </row>
    <row r="41" spans="1:5" ht="12.75">
      <c r="A41" t="s">
        <v>283</v>
      </c>
      <c r="B41" s="101">
        <f>-$B$18</f>
        <v>-780</v>
      </c>
      <c r="C41" s="101">
        <f>+$B$19</f>
        <v>390</v>
      </c>
      <c r="D41" s="102">
        <f>+E40*0.06</f>
        <v>144.612</v>
      </c>
      <c r="E41" s="101">
        <f>+E40+D41+C41-B41</f>
        <v>3724.812</v>
      </c>
    </row>
    <row r="42" spans="1:5" ht="12.75">
      <c r="A42" t="s">
        <v>284</v>
      </c>
      <c r="B42" s="101">
        <f>-$B$18</f>
        <v>-780</v>
      </c>
      <c r="C42" s="101">
        <f>+$B$19</f>
        <v>390</v>
      </c>
      <c r="D42" s="102">
        <f>+E41*0.06</f>
        <v>223.48871999999997</v>
      </c>
      <c r="E42" s="101">
        <f>+E41+D42+C42-B42</f>
        <v>5118.300719999999</v>
      </c>
    </row>
    <row r="43" spans="1:5" ht="12.75">
      <c r="A43" t="s">
        <v>285</v>
      </c>
      <c r="B43" s="101">
        <f>-$B$18</f>
        <v>-780</v>
      </c>
      <c r="C43" s="101">
        <f>+$B$19</f>
        <v>390</v>
      </c>
      <c r="D43" s="102">
        <f>+E42*0.06</f>
        <v>307.09804319999995</v>
      </c>
      <c r="E43" s="101">
        <f>+E42+D43+C43-B43</f>
        <v>6595.398763199999</v>
      </c>
    </row>
    <row r="44" spans="1:2" ht="12.75">
      <c r="A44" s="88" t="s">
        <v>290</v>
      </c>
      <c r="B44" s="101">
        <f>+E43</f>
        <v>6595.398763199999</v>
      </c>
    </row>
    <row r="45" spans="1:2" ht="12.75">
      <c r="A45" s="88" t="s">
        <v>291</v>
      </c>
      <c r="B45" s="26">
        <f>IRR(B39:B44,20%)</f>
        <v>0.18057396691052716</v>
      </c>
    </row>
    <row r="47" spans="1:5" ht="38.25">
      <c r="A47" s="103" t="s">
        <v>293</v>
      </c>
      <c r="B47" s="104" t="s">
        <v>286</v>
      </c>
      <c r="C47" s="104" t="s">
        <v>287</v>
      </c>
      <c r="D47" s="104" t="s">
        <v>288</v>
      </c>
      <c r="E47" s="104" t="s">
        <v>289</v>
      </c>
    </row>
    <row r="48" spans="1:5" ht="12.75">
      <c r="A48" t="s">
        <v>281</v>
      </c>
      <c r="B48" s="101">
        <f>-$C$18</f>
        <v>-2600</v>
      </c>
      <c r="C48" s="101">
        <f>+$C$19</f>
        <v>1300</v>
      </c>
      <c r="D48" s="102">
        <v>0</v>
      </c>
      <c r="E48" s="101">
        <f>+D48+C48-B48</f>
        <v>3900</v>
      </c>
    </row>
    <row r="49" spans="1:5" ht="12.75">
      <c r="A49" t="s">
        <v>282</v>
      </c>
      <c r="B49" s="101">
        <f>-$C$18</f>
        <v>-2600</v>
      </c>
      <c r="C49" s="101">
        <f>+$C$19</f>
        <v>1300</v>
      </c>
      <c r="D49" s="102">
        <f>+E48*0.06</f>
        <v>234</v>
      </c>
      <c r="E49" s="101">
        <f>+E48+D49+C49-B49</f>
        <v>8034</v>
      </c>
    </row>
    <row r="50" spans="1:5" ht="12.75">
      <c r="A50" t="s">
        <v>283</v>
      </c>
      <c r="B50" s="101">
        <f>-$C$18</f>
        <v>-2600</v>
      </c>
      <c r="C50" s="101">
        <f>+$C$19</f>
        <v>1300</v>
      </c>
      <c r="D50" s="102">
        <f>+E49*0.06</f>
        <v>482.03999999999996</v>
      </c>
      <c r="E50" s="101">
        <f>+E49+D50+C50-B50</f>
        <v>12416.04</v>
      </c>
    </row>
    <row r="51" spans="1:5" ht="12.75">
      <c r="A51" t="s">
        <v>284</v>
      </c>
      <c r="B51" s="101">
        <f>-$C$18</f>
        <v>-2600</v>
      </c>
      <c r="C51" s="101">
        <f>+$C$19</f>
        <v>1300</v>
      </c>
      <c r="D51" s="102">
        <f>+E50*0.06</f>
        <v>744.9624</v>
      </c>
      <c r="E51" s="101">
        <f>+E50+D51+C51-B51</f>
        <v>17061.0024</v>
      </c>
    </row>
    <row r="52" spans="1:5" ht="12.75">
      <c r="A52" t="s">
        <v>285</v>
      </c>
      <c r="B52" s="101">
        <f>-$C$18</f>
        <v>-2600</v>
      </c>
      <c r="C52" s="101">
        <f>+$C$19</f>
        <v>1300</v>
      </c>
      <c r="D52" s="102">
        <f>+E51*0.06</f>
        <v>1023.6601440000001</v>
      </c>
      <c r="E52" s="101">
        <f>+E51+D52+C52-B52</f>
        <v>21984.662544000003</v>
      </c>
    </row>
    <row r="53" spans="1:2" ht="12.75">
      <c r="A53" s="88" t="s">
        <v>290</v>
      </c>
      <c r="B53" s="101">
        <f>+E52</f>
        <v>21984.662544000003</v>
      </c>
    </row>
    <row r="54" spans="1:2" ht="12.75">
      <c r="A54" s="88" t="s">
        <v>291</v>
      </c>
      <c r="B54" s="26">
        <f>IRR(B48:B53,20%)</f>
        <v>0.18057396691052738</v>
      </c>
    </row>
    <row r="56" spans="1:5" ht="38.25">
      <c r="A56" s="103" t="s">
        <v>294</v>
      </c>
      <c r="B56" s="104" t="s">
        <v>286</v>
      </c>
      <c r="C56" s="104" t="s">
        <v>287</v>
      </c>
      <c r="D56" s="104" t="s">
        <v>288</v>
      </c>
      <c r="E56" s="104" t="s">
        <v>289</v>
      </c>
    </row>
    <row r="57" spans="1:5" ht="12.75">
      <c r="A57" t="s">
        <v>281</v>
      </c>
      <c r="B57" s="101">
        <f>-$E$18</f>
        <v>-14000</v>
      </c>
      <c r="C57" s="101">
        <f>+$E$19</f>
        <v>2148</v>
      </c>
      <c r="D57" s="102">
        <v>0</v>
      </c>
      <c r="E57" s="101">
        <f>+D57+C57-B57</f>
        <v>16148</v>
      </c>
    </row>
    <row r="58" spans="1:5" ht="12.75">
      <c r="A58" t="s">
        <v>282</v>
      </c>
      <c r="B58" s="101">
        <f>-$E$18</f>
        <v>-14000</v>
      </c>
      <c r="C58" s="101">
        <f>+$E$19</f>
        <v>2148</v>
      </c>
      <c r="D58" s="102">
        <f>+E57*0.06</f>
        <v>968.88</v>
      </c>
      <c r="E58" s="101">
        <f>+E57+D58+C58-B58</f>
        <v>33264.880000000005</v>
      </c>
    </row>
    <row r="59" spans="1:5" ht="12.75">
      <c r="A59" t="s">
        <v>283</v>
      </c>
      <c r="B59" s="101">
        <f>-$E$18</f>
        <v>-14000</v>
      </c>
      <c r="C59" s="101">
        <f>+$E$19</f>
        <v>2148</v>
      </c>
      <c r="D59" s="102">
        <f>+E58*0.06</f>
        <v>1995.8928000000003</v>
      </c>
      <c r="E59" s="101">
        <f>+E58+D59+C59-B59</f>
        <v>51408.772800000006</v>
      </c>
    </row>
    <row r="60" spans="1:5" ht="12.75">
      <c r="A60" t="s">
        <v>284</v>
      </c>
      <c r="B60" s="101">
        <f>-$E$18</f>
        <v>-14000</v>
      </c>
      <c r="C60" s="101">
        <f>+$E$19</f>
        <v>2148</v>
      </c>
      <c r="D60" s="102">
        <f>+E59*0.06</f>
        <v>3084.5263680000003</v>
      </c>
      <c r="E60" s="101">
        <f>+E59+D60+C60-B60</f>
        <v>70641.299168</v>
      </c>
    </row>
    <row r="61" spans="1:5" ht="12.75">
      <c r="A61" t="s">
        <v>285</v>
      </c>
      <c r="B61" s="101">
        <f>-$E$18</f>
        <v>-14000</v>
      </c>
      <c r="C61" s="101">
        <f>+$E$19</f>
        <v>2148</v>
      </c>
      <c r="D61" s="102">
        <f>+E60*0.06</f>
        <v>4238.47795008</v>
      </c>
      <c r="E61" s="101">
        <f>+E60+D61+C61-B61</f>
        <v>91027.77711808</v>
      </c>
    </row>
    <row r="62" spans="1:2" ht="12.75">
      <c r="A62" s="88" t="s">
        <v>290</v>
      </c>
      <c r="B62" s="101">
        <f>+E61</f>
        <v>91027.77711808</v>
      </c>
    </row>
    <row r="63" spans="1:2" ht="12.75">
      <c r="A63" s="88" t="s">
        <v>291</v>
      </c>
      <c r="B63" s="26">
        <f>IRR(B57:B62,20%)</f>
        <v>0.08887361775674898</v>
      </c>
    </row>
    <row r="65" spans="1:5" ht="38.25">
      <c r="A65" s="103" t="s">
        <v>295</v>
      </c>
      <c r="B65" s="104" t="s">
        <v>286</v>
      </c>
      <c r="C65" s="104" t="s">
        <v>287</v>
      </c>
      <c r="D65" s="104" t="s">
        <v>288</v>
      </c>
      <c r="E65" s="104" t="s">
        <v>289</v>
      </c>
    </row>
    <row r="66" spans="1:5" ht="12.75">
      <c r="A66" t="s">
        <v>281</v>
      </c>
      <c r="B66" s="101">
        <f>-$D$18</f>
        <v>-5200</v>
      </c>
      <c r="C66" s="101">
        <f>+$D$19</f>
        <v>2148</v>
      </c>
      <c r="D66" s="102">
        <v>0</v>
      </c>
      <c r="E66" s="101">
        <f>+D66+C66-B66</f>
        <v>7348</v>
      </c>
    </row>
    <row r="67" spans="1:5" ht="12.75">
      <c r="A67" t="s">
        <v>282</v>
      </c>
      <c r="B67" s="101">
        <f>-$D$18</f>
        <v>-5200</v>
      </c>
      <c r="C67" s="101">
        <f>+$D$19</f>
        <v>2148</v>
      </c>
      <c r="D67" s="102">
        <f>+E66*0.06</f>
        <v>440.88</v>
      </c>
      <c r="E67" s="101">
        <f>+E66+D67+C67-B67</f>
        <v>15136.880000000001</v>
      </c>
    </row>
    <row r="68" spans="1:5" ht="12.75">
      <c r="A68" t="s">
        <v>283</v>
      </c>
      <c r="B68" s="101">
        <f>-$D$18</f>
        <v>-5200</v>
      </c>
      <c r="C68" s="101">
        <f>+$D$19</f>
        <v>2148</v>
      </c>
      <c r="D68" s="102">
        <f>+E67*0.06</f>
        <v>908.2128</v>
      </c>
      <c r="E68" s="101">
        <f>+E67+D68+C68-B68</f>
        <v>23393.0928</v>
      </c>
    </row>
    <row r="69" spans="1:5" ht="12.75">
      <c r="A69" t="s">
        <v>284</v>
      </c>
      <c r="B69" s="101">
        <f>-$D$18</f>
        <v>-5200</v>
      </c>
      <c r="C69" s="101">
        <f>+$D$19</f>
        <v>2148</v>
      </c>
      <c r="D69" s="102">
        <f>+E68*0.06</f>
        <v>1403.585568</v>
      </c>
      <c r="E69" s="101">
        <f>+E68+D69+C69-B69</f>
        <v>32144.678367999997</v>
      </c>
    </row>
    <row r="70" spans="1:5" ht="12.75">
      <c r="A70" t="s">
        <v>285</v>
      </c>
      <c r="B70" s="101">
        <f>-$D$18</f>
        <v>-5200</v>
      </c>
      <c r="C70" s="101">
        <f>+$D$19</f>
        <v>2148</v>
      </c>
      <c r="D70" s="102">
        <f>+E69*0.06</f>
        <v>1928.6807020799997</v>
      </c>
      <c r="E70" s="101">
        <f>+E69+D70+C70-B70</f>
        <v>41421.35907008</v>
      </c>
    </row>
    <row r="71" spans="1:2" ht="12.75">
      <c r="A71" s="88" t="s">
        <v>290</v>
      </c>
      <c r="B71" s="101">
        <f>+E70</f>
        <v>41421.35907008</v>
      </c>
    </row>
    <row r="72" spans="1:2" ht="12.75">
      <c r="A72" s="88" t="s">
        <v>291</v>
      </c>
      <c r="B72" s="26">
        <f>IRR(B66:B71,20%)</f>
        <v>0.1594774013253307</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6:N42"/>
  <sheetViews>
    <sheetView workbookViewId="0" topLeftCell="A1">
      <selection activeCell="A1" sqref="A1"/>
    </sheetView>
  </sheetViews>
  <sheetFormatPr defaultColWidth="9.140625" defaultRowHeight="12.75"/>
  <cols>
    <col min="5" max="5" width="9.28125" style="0" bestFit="1" customWidth="1"/>
    <col min="10" max="10" width="9.28125" style="0" bestFit="1" customWidth="1"/>
  </cols>
  <sheetData>
    <row r="6" spans="6:11" ht="12.75">
      <c r="F6" t="s">
        <v>126</v>
      </c>
      <c r="K6" t="s">
        <v>127</v>
      </c>
    </row>
    <row r="7" spans="1:13" ht="12.75">
      <c r="A7" t="s">
        <v>128</v>
      </c>
      <c r="B7" t="s">
        <v>129</v>
      </c>
      <c r="C7" t="s">
        <v>130</v>
      </c>
      <c r="E7" t="s">
        <v>131</v>
      </c>
      <c r="G7" t="s">
        <v>132</v>
      </c>
      <c r="J7" t="s">
        <v>131</v>
      </c>
      <c r="L7" t="s">
        <v>132</v>
      </c>
      <c r="M7" t="s">
        <v>133</v>
      </c>
    </row>
    <row r="8" spans="2:14" ht="12.75">
      <c r="B8" t="s">
        <v>134</v>
      </c>
      <c r="C8" t="s">
        <v>135</v>
      </c>
      <c r="E8" t="s">
        <v>136</v>
      </c>
      <c r="F8" t="s">
        <v>137</v>
      </c>
      <c r="G8" t="s">
        <v>136</v>
      </c>
      <c r="H8" t="s">
        <v>137</v>
      </c>
      <c r="J8" t="s">
        <v>136</v>
      </c>
      <c r="K8" t="s">
        <v>137</v>
      </c>
      <c r="L8" t="s">
        <v>136</v>
      </c>
      <c r="M8" t="s">
        <v>138</v>
      </c>
      <c r="N8" t="s">
        <v>137</v>
      </c>
    </row>
    <row r="9" ht="12.75">
      <c r="M9" s="17"/>
    </row>
    <row r="10" spans="1:14" ht="12.75">
      <c r="A10">
        <v>1995</v>
      </c>
      <c r="B10" s="13">
        <v>0.0705</v>
      </c>
      <c r="C10" s="13">
        <v>0.075</v>
      </c>
      <c r="E10" s="19">
        <v>2000</v>
      </c>
      <c r="F10" s="19">
        <f aca="true" t="shared" si="0" ref="F10:F20">F9+$C10*F9+E10</f>
        <v>2000</v>
      </c>
      <c r="G10" s="19">
        <v>9240</v>
      </c>
      <c r="H10" s="19">
        <f aca="true" t="shared" si="1" ref="H10:H20">H9+$C10*H9+G10</f>
        <v>9240</v>
      </c>
      <c r="I10" s="19"/>
      <c r="J10" s="19">
        <v>2000</v>
      </c>
      <c r="K10" s="19">
        <f>K9+$C10*K9+J10</f>
        <v>2000</v>
      </c>
      <c r="L10" s="19">
        <f>G10</f>
        <v>9240</v>
      </c>
      <c r="M10" s="19">
        <f>L10/2</f>
        <v>4620</v>
      </c>
      <c r="N10" s="19">
        <f>N9+$C10*N9+L10+M10</f>
        <v>13860</v>
      </c>
    </row>
    <row r="11" spans="1:14" ht="12.75">
      <c r="A11">
        <f>A10+1</f>
        <v>1996</v>
      </c>
      <c r="B11" s="13">
        <v>0.0509</v>
      </c>
      <c r="C11" s="13">
        <v>0.07</v>
      </c>
      <c r="E11" s="19">
        <f>E10</f>
        <v>2000</v>
      </c>
      <c r="F11" s="19">
        <f t="shared" si="0"/>
        <v>4140</v>
      </c>
      <c r="G11" s="19">
        <v>9500</v>
      </c>
      <c r="H11" s="19">
        <f t="shared" si="1"/>
        <v>19386.8</v>
      </c>
      <c r="I11" s="19"/>
      <c r="J11" s="19">
        <f>J10</f>
        <v>2000</v>
      </c>
      <c r="K11" s="19">
        <f aca="true" t="shared" si="2" ref="K11:K20">K10+$C11*K10+J11</f>
        <v>4140</v>
      </c>
      <c r="L11" s="19">
        <f aca="true" t="shared" si="3" ref="L11:L21">G11</f>
        <v>9500</v>
      </c>
      <c r="M11" s="19">
        <f aca="true" t="shared" si="4" ref="M11:M21">L11/2</f>
        <v>4750</v>
      </c>
      <c r="N11" s="19">
        <f aca="true" t="shared" si="5" ref="N11:N20">N10+$C11*N10+L11+M11</f>
        <v>29080.2</v>
      </c>
    </row>
    <row r="12" spans="1:14" ht="12.75">
      <c r="A12">
        <f aca="true" t="shared" si="6" ref="A12:A20">A11+1</f>
        <v>1997</v>
      </c>
      <c r="B12" s="13">
        <v>0.0561</v>
      </c>
      <c r="C12" s="13">
        <v>0.06</v>
      </c>
      <c r="E12" s="19">
        <f aca="true" t="shared" si="7" ref="E12:E19">E11</f>
        <v>2000</v>
      </c>
      <c r="F12" s="19">
        <f t="shared" si="0"/>
        <v>6388.4</v>
      </c>
      <c r="G12" s="19">
        <v>10000</v>
      </c>
      <c r="H12" s="19">
        <f t="shared" si="1"/>
        <v>30550.007999999998</v>
      </c>
      <c r="I12" s="19"/>
      <c r="J12" s="19">
        <f aca="true" t="shared" si="8" ref="J12:J19">J11</f>
        <v>2000</v>
      </c>
      <c r="K12" s="19">
        <f t="shared" si="2"/>
        <v>6388.4</v>
      </c>
      <c r="L12" s="19">
        <f t="shared" si="3"/>
        <v>10000</v>
      </c>
      <c r="M12" s="19">
        <f t="shared" si="4"/>
        <v>5000</v>
      </c>
      <c r="N12" s="19">
        <f t="shared" si="5"/>
        <v>45825.012</v>
      </c>
    </row>
    <row r="13" spans="1:14" ht="12.75">
      <c r="A13">
        <f t="shared" si="6"/>
        <v>1998</v>
      </c>
      <c r="B13" s="13">
        <v>0.0525</v>
      </c>
      <c r="C13" s="13">
        <v>0.055</v>
      </c>
      <c r="E13" s="19">
        <f t="shared" si="7"/>
        <v>2000</v>
      </c>
      <c r="F13" s="19">
        <f t="shared" si="0"/>
        <v>8739.761999999999</v>
      </c>
      <c r="G13" s="19">
        <v>10000</v>
      </c>
      <c r="H13" s="19">
        <f t="shared" si="1"/>
        <v>42230.25844</v>
      </c>
      <c r="I13" s="19"/>
      <c r="J13" s="19">
        <f t="shared" si="8"/>
        <v>2000</v>
      </c>
      <c r="K13" s="19">
        <f t="shared" si="2"/>
        <v>8739.761999999999</v>
      </c>
      <c r="L13" s="19">
        <f t="shared" si="3"/>
        <v>10000</v>
      </c>
      <c r="M13" s="19">
        <f t="shared" si="4"/>
        <v>5000</v>
      </c>
      <c r="N13" s="19">
        <f t="shared" si="5"/>
        <v>63345.38766</v>
      </c>
    </row>
    <row r="14" spans="1:14" ht="12.75">
      <c r="A14">
        <f t="shared" si="6"/>
        <v>1999</v>
      </c>
      <c r="B14" s="13">
        <v>0.0451</v>
      </c>
      <c r="C14" s="13">
        <v>0.05</v>
      </c>
      <c r="E14" s="19">
        <f t="shared" si="7"/>
        <v>2000</v>
      </c>
      <c r="F14" s="19">
        <f t="shared" si="0"/>
        <v>11176.7501</v>
      </c>
      <c r="G14" s="19">
        <v>10000</v>
      </c>
      <c r="H14" s="19">
        <f t="shared" si="1"/>
        <v>54341.771362</v>
      </c>
      <c r="I14" s="19"/>
      <c r="J14" s="19">
        <f t="shared" si="8"/>
        <v>2000</v>
      </c>
      <c r="K14" s="19">
        <f t="shared" si="2"/>
        <v>11176.7501</v>
      </c>
      <c r="L14" s="19">
        <f t="shared" si="3"/>
        <v>10000</v>
      </c>
      <c r="M14" s="19">
        <f t="shared" si="4"/>
        <v>5000</v>
      </c>
      <c r="N14" s="19">
        <f t="shared" si="5"/>
        <v>81512.657043</v>
      </c>
    </row>
    <row r="15" spans="1:14" ht="12.75">
      <c r="A15">
        <f t="shared" si="6"/>
        <v>2000</v>
      </c>
      <c r="B15" s="13">
        <v>0.0612</v>
      </c>
      <c r="C15" s="13">
        <v>0.065</v>
      </c>
      <c r="E15" s="19">
        <f t="shared" si="7"/>
        <v>2000</v>
      </c>
      <c r="F15" s="19">
        <f t="shared" si="0"/>
        <v>13903.2388565</v>
      </c>
      <c r="G15" s="19">
        <v>10000</v>
      </c>
      <c r="H15" s="19">
        <f t="shared" si="1"/>
        <v>67873.98650053001</v>
      </c>
      <c r="I15" s="19"/>
      <c r="J15" s="19">
        <f t="shared" si="8"/>
        <v>2000</v>
      </c>
      <c r="K15" s="19">
        <f t="shared" si="2"/>
        <v>13903.2388565</v>
      </c>
      <c r="L15" s="19">
        <f t="shared" si="3"/>
        <v>10000</v>
      </c>
      <c r="M15" s="19">
        <f t="shared" si="4"/>
        <v>5000</v>
      </c>
      <c r="N15" s="19">
        <f t="shared" si="5"/>
        <v>101810.979750795</v>
      </c>
    </row>
    <row r="16" spans="1:14" ht="12.75">
      <c r="A16">
        <f t="shared" si="6"/>
        <v>2001</v>
      </c>
      <c r="B16" s="13">
        <v>0.0481</v>
      </c>
      <c r="C16" s="13">
        <v>0.055</v>
      </c>
      <c r="E16" s="19">
        <f t="shared" si="7"/>
        <v>2000</v>
      </c>
      <c r="F16" s="19">
        <f t="shared" si="0"/>
        <v>16667.916993607498</v>
      </c>
      <c r="G16" s="19">
        <v>10000</v>
      </c>
      <c r="H16" s="19">
        <f t="shared" si="1"/>
        <v>81607.05575805916</v>
      </c>
      <c r="I16" s="19"/>
      <c r="J16" s="19">
        <f t="shared" si="8"/>
        <v>2000</v>
      </c>
      <c r="K16" s="19">
        <f t="shared" si="2"/>
        <v>16667.916993607498</v>
      </c>
      <c r="L16" s="19">
        <f t="shared" si="3"/>
        <v>10000</v>
      </c>
      <c r="M16" s="19">
        <f t="shared" si="4"/>
        <v>5000</v>
      </c>
      <c r="N16" s="19">
        <f t="shared" si="5"/>
        <v>122410.58363708873</v>
      </c>
    </row>
    <row r="17" spans="1:14" ht="12.75">
      <c r="A17">
        <f t="shared" si="6"/>
        <v>2002</v>
      </c>
      <c r="B17" s="13">
        <v>0.0216</v>
      </c>
      <c r="C17" s="13">
        <v>0.04</v>
      </c>
      <c r="E17" s="19">
        <v>3000</v>
      </c>
      <c r="F17" s="19">
        <f t="shared" si="0"/>
        <v>20334.633673351796</v>
      </c>
      <c r="G17" s="19">
        <v>11000</v>
      </c>
      <c r="H17" s="19">
        <f t="shared" si="1"/>
        <v>95871.33798838152</v>
      </c>
      <c r="I17" s="19"/>
      <c r="J17" s="19">
        <v>3000</v>
      </c>
      <c r="K17" s="19">
        <f t="shared" si="2"/>
        <v>20334.633673351796</v>
      </c>
      <c r="L17" s="19">
        <f t="shared" si="3"/>
        <v>11000</v>
      </c>
      <c r="M17" s="19">
        <f t="shared" si="4"/>
        <v>5500</v>
      </c>
      <c r="N17" s="19">
        <f t="shared" si="5"/>
        <v>143807.00698257226</v>
      </c>
    </row>
    <row r="18" spans="1:14" ht="12.75">
      <c r="A18">
        <f t="shared" si="6"/>
        <v>2003</v>
      </c>
      <c r="B18" s="13">
        <v>0.0136</v>
      </c>
      <c r="C18" s="13">
        <v>0.03</v>
      </c>
      <c r="E18" s="19">
        <f t="shared" si="7"/>
        <v>3000</v>
      </c>
      <c r="F18" s="19">
        <f t="shared" si="0"/>
        <v>23944.67268355235</v>
      </c>
      <c r="G18" s="19">
        <v>12000</v>
      </c>
      <c r="H18" s="19">
        <f t="shared" si="1"/>
        <v>110747.47812803296</v>
      </c>
      <c r="I18" s="19"/>
      <c r="J18" s="19">
        <f t="shared" si="8"/>
        <v>3000</v>
      </c>
      <c r="K18" s="19">
        <f t="shared" si="2"/>
        <v>23944.67268355235</v>
      </c>
      <c r="L18" s="19">
        <f t="shared" si="3"/>
        <v>12000</v>
      </c>
      <c r="M18" s="19">
        <f t="shared" si="4"/>
        <v>6000</v>
      </c>
      <c r="N18" s="19">
        <f t="shared" si="5"/>
        <v>166121.21719204943</v>
      </c>
    </row>
    <row r="19" spans="1:14" ht="12.75">
      <c r="A19">
        <f t="shared" si="6"/>
        <v>2004</v>
      </c>
      <c r="B19" s="13">
        <v>0.0124</v>
      </c>
      <c r="C19" s="13">
        <v>0.03</v>
      </c>
      <c r="E19" s="19">
        <f t="shared" si="7"/>
        <v>3000</v>
      </c>
      <c r="F19" s="19">
        <f t="shared" si="0"/>
        <v>27663.01286405892</v>
      </c>
      <c r="G19" s="19">
        <v>13000</v>
      </c>
      <c r="H19" s="19">
        <f t="shared" si="1"/>
        <v>127069.90247187395</v>
      </c>
      <c r="I19" s="19"/>
      <c r="J19" s="19">
        <f t="shared" si="8"/>
        <v>3000</v>
      </c>
      <c r="K19" s="19">
        <f t="shared" si="2"/>
        <v>27663.01286405892</v>
      </c>
      <c r="L19" s="19">
        <f t="shared" si="3"/>
        <v>13000</v>
      </c>
      <c r="M19" s="19">
        <f t="shared" si="4"/>
        <v>6500</v>
      </c>
      <c r="N19" s="19">
        <f t="shared" si="5"/>
        <v>190604.85370781092</v>
      </c>
    </row>
    <row r="20" spans="1:14" ht="12.75">
      <c r="A20">
        <f t="shared" si="6"/>
        <v>2005</v>
      </c>
      <c r="B20" s="13">
        <v>0.0286</v>
      </c>
      <c r="C20" s="13">
        <v>0.035</v>
      </c>
      <c r="E20" s="19">
        <v>4000</v>
      </c>
      <c r="F20" s="19">
        <f t="shared" si="0"/>
        <v>32631.218314300982</v>
      </c>
      <c r="G20" s="19">
        <v>14000</v>
      </c>
      <c r="H20" s="19">
        <f t="shared" si="1"/>
        <v>145517.34905838955</v>
      </c>
      <c r="I20" s="19"/>
      <c r="J20" s="19">
        <v>4000</v>
      </c>
      <c r="K20" s="19">
        <f t="shared" si="2"/>
        <v>32631.218314300982</v>
      </c>
      <c r="L20" s="19">
        <f t="shared" si="3"/>
        <v>14000</v>
      </c>
      <c r="M20" s="19">
        <f t="shared" si="4"/>
        <v>7000</v>
      </c>
      <c r="N20" s="19">
        <f t="shared" si="5"/>
        <v>218276.0235875843</v>
      </c>
    </row>
    <row r="21" spans="1:14" ht="12.75">
      <c r="A21">
        <v>2006</v>
      </c>
      <c r="B21" s="13"/>
      <c r="C21" s="13"/>
      <c r="E21" s="19">
        <v>4000</v>
      </c>
      <c r="F21" s="19"/>
      <c r="G21" s="19">
        <v>15000</v>
      </c>
      <c r="H21" s="19"/>
      <c r="I21" s="19"/>
      <c r="J21" s="19"/>
      <c r="K21" s="19"/>
      <c r="L21" s="19">
        <f t="shared" si="3"/>
        <v>15000</v>
      </c>
      <c r="M21" s="19">
        <f t="shared" si="4"/>
        <v>7500</v>
      </c>
      <c r="N21" s="19"/>
    </row>
    <row r="22" spans="1:14" ht="12.75">
      <c r="A22" s="17" t="s">
        <v>139</v>
      </c>
      <c r="F22" s="5">
        <v>33000</v>
      </c>
      <c r="G22" s="5"/>
      <c r="H22" s="5">
        <v>150000</v>
      </c>
      <c r="I22" s="5"/>
      <c r="J22" s="5"/>
      <c r="K22" s="5">
        <v>33000</v>
      </c>
      <c r="L22" s="5"/>
      <c r="M22" s="5"/>
      <c r="N22" s="5">
        <v>225000</v>
      </c>
    </row>
    <row r="24" spans="1:2" ht="12.75">
      <c r="A24" s="17" t="s">
        <v>140</v>
      </c>
      <c r="B24" s="17"/>
    </row>
    <row r="25" spans="1:4" ht="12.75">
      <c r="A25" t="s">
        <v>141</v>
      </c>
      <c r="C25">
        <v>250000</v>
      </c>
      <c r="D25">
        <f>+C25*0.06</f>
        <v>15000</v>
      </c>
    </row>
    <row r="26" spans="1:4" ht="12.75">
      <c r="A26" t="s">
        <v>142</v>
      </c>
      <c r="C26">
        <v>120000</v>
      </c>
      <c r="D26">
        <f>+C26*0.06</f>
        <v>7200</v>
      </c>
    </row>
    <row r="30" spans="1:14" ht="12.75">
      <c r="A30">
        <v>1995</v>
      </c>
      <c r="B30" s="13">
        <v>0.0705</v>
      </c>
      <c r="C30" s="13">
        <v>0.08</v>
      </c>
      <c r="E30" s="19">
        <v>2000</v>
      </c>
      <c r="F30" s="19">
        <f aca="true" t="shared" si="9" ref="F30:F40">F29+$C30*F29+E30</f>
        <v>2000</v>
      </c>
      <c r="G30" s="19">
        <v>9240</v>
      </c>
      <c r="H30" s="19">
        <f aca="true" t="shared" si="10" ref="H30:H40">H29+$C30*H29+G30</f>
        <v>9240</v>
      </c>
      <c r="I30" s="19"/>
      <c r="J30" s="19">
        <v>2000</v>
      </c>
      <c r="K30" s="19">
        <f>K29+$C30*K29+J30</f>
        <v>2000</v>
      </c>
      <c r="L30" s="19">
        <f>G30</f>
        <v>9240</v>
      </c>
      <c r="M30" s="19">
        <f>L30/2</f>
        <v>4620</v>
      </c>
      <c r="N30" s="19">
        <f>N29+$C30*N29+L30+M30</f>
        <v>13860</v>
      </c>
    </row>
    <row r="31" spans="1:14" ht="12.75">
      <c r="A31">
        <f>A30+1</f>
        <v>1996</v>
      </c>
      <c r="B31" s="13">
        <v>0.0509</v>
      </c>
      <c r="C31" s="13">
        <v>0.08</v>
      </c>
      <c r="E31" s="19">
        <f aca="true" t="shared" si="11" ref="E31:E36">E30</f>
        <v>2000</v>
      </c>
      <c r="F31" s="19">
        <f t="shared" si="9"/>
        <v>4160</v>
      </c>
      <c r="G31" s="19">
        <v>9500</v>
      </c>
      <c r="H31" s="19">
        <f t="shared" si="10"/>
        <v>19479.2</v>
      </c>
      <c r="I31" s="19"/>
      <c r="J31" s="19">
        <f aca="true" t="shared" si="12" ref="J31:J36">J30</f>
        <v>2000</v>
      </c>
      <c r="K31" s="19">
        <f aca="true" t="shared" si="13" ref="K31:K40">K30+$C31*K30+J31</f>
        <v>4160</v>
      </c>
      <c r="L31" s="19">
        <f aca="true" t="shared" si="14" ref="L31:L41">G31</f>
        <v>9500</v>
      </c>
      <c r="M31" s="19">
        <f aca="true" t="shared" si="15" ref="M31:M41">L31/2</f>
        <v>4750</v>
      </c>
      <c r="N31" s="19">
        <f aca="true" t="shared" si="16" ref="N31:N40">N30+$C31*N30+L31+M31</f>
        <v>29218.8</v>
      </c>
    </row>
    <row r="32" spans="1:14" ht="12.75">
      <c r="A32">
        <f aca="true" t="shared" si="17" ref="A32:A40">A31+1</f>
        <v>1997</v>
      </c>
      <c r="B32" s="13">
        <v>0.0561</v>
      </c>
      <c r="C32" s="13">
        <v>0.07</v>
      </c>
      <c r="E32" s="19">
        <f t="shared" si="11"/>
        <v>2000</v>
      </c>
      <c r="F32" s="19">
        <f t="shared" si="9"/>
        <v>6451.2</v>
      </c>
      <c r="G32" s="19">
        <v>10000</v>
      </c>
      <c r="H32" s="19">
        <f t="shared" si="10"/>
        <v>30842.744000000002</v>
      </c>
      <c r="I32" s="19"/>
      <c r="J32" s="19">
        <f t="shared" si="12"/>
        <v>2000</v>
      </c>
      <c r="K32" s="19">
        <f t="shared" si="13"/>
        <v>6451.2</v>
      </c>
      <c r="L32" s="19">
        <f t="shared" si="14"/>
        <v>10000</v>
      </c>
      <c r="M32" s="19">
        <f t="shared" si="15"/>
        <v>5000</v>
      </c>
      <c r="N32" s="19">
        <f t="shared" si="16"/>
        <v>46264.115999999995</v>
      </c>
    </row>
    <row r="33" spans="1:14" ht="12.75">
      <c r="A33">
        <f t="shared" si="17"/>
        <v>1998</v>
      </c>
      <c r="B33" s="13">
        <v>0.0525</v>
      </c>
      <c r="C33" s="13">
        <v>0.06</v>
      </c>
      <c r="E33" s="19">
        <f t="shared" si="11"/>
        <v>2000</v>
      </c>
      <c r="F33" s="19">
        <f t="shared" si="9"/>
        <v>8838.272</v>
      </c>
      <c r="G33" s="19">
        <v>10000</v>
      </c>
      <c r="H33" s="19">
        <f t="shared" si="10"/>
        <v>42693.30864</v>
      </c>
      <c r="I33" s="19"/>
      <c r="J33" s="19">
        <f t="shared" si="12"/>
        <v>2000</v>
      </c>
      <c r="K33" s="19">
        <f t="shared" si="13"/>
        <v>8838.272</v>
      </c>
      <c r="L33" s="19">
        <f t="shared" si="14"/>
        <v>10000</v>
      </c>
      <c r="M33" s="19">
        <f t="shared" si="15"/>
        <v>5000</v>
      </c>
      <c r="N33" s="19">
        <f t="shared" si="16"/>
        <v>64039.96296</v>
      </c>
    </row>
    <row r="34" spans="1:14" ht="12.75">
      <c r="A34">
        <f t="shared" si="17"/>
        <v>1999</v>
      </c>
      <c r="B34" s="13">
        <v>0.0451</v>
      </c>
      <c r="C34" s="13">
        <v>0.06</v>
      </c>
      <c r="E34" s="19">
        <f t="shared" si="11"/>
        <v>2000</v>
      </c>
      <c r="F34" s="19">
        <f t="shared" si="9"/>
        <v>11368.56832</v>
      </c>
      <c r="G34" s="19">
        <v>10000</v>
      </c>
      <c r="H34" s="19">
        <f t="shared" si="10"/>
        <v>55254.907158400005</v>
      </c>
      <c r="I34" s="19"/>
      <c r="J34" s="19">
        <f t="shared" si="12"/>
        <v>2000</v>
      </c>
      <c r="K34" s="19">
        <f t="shared" si="13"/>
        <v>11368.56832</v>
      </c>
      <c r="L34" s="19">
        <f t="shared" si="14"/>
        <v>10000</v>
      </c>
      <c r="M34" s="19">
        <f t="shared" si="15"/>
        <v>5000</v>
      </c>
      <c r="N34" s="19">
        <f t="shared" si="16"/>
        <v>82882.3607376</v>
      </c>
    </row>
    <row r="35" spans="1:14" ht="12.75">
      <c r="A35">
        <f t="shared" si="17"/>
        <v>2000</v>
      </c>
      <c r="B35" s="13">
        <v>0.0612</v>
      </c>
      <c r="C35" s="13">
        <v>0.065</v>
      </c>
      <c r="E35" s="19">
        <f t="shared" si="11"/>
        <v>2000</v>
      </c>
      <c r="F35" s="19">
        <f t="shared" si="9"/>
        <v>14107.525260800001</v>
      </c>
      <c r="G35" s="19">
        <v>10000</v>
      </c>
      <c r="H35" s="19">
        <f t="shared" si="10"/>
        <v>68846.476123696</v>
      </c>
      <c r="I35" s="19"/>
      <c r="J35" s="19">
        <f t="shared" si="12"/>
        <v>2000</v>
      </c>
      <c r="K35" s="19">
        <f t="shared" si="13"/>
        <v>14107.525260800001</v>
      </c>
      <c r="L35" s="19">
        <f t="shared" si="14"/>
        <v>10000</v>
      </c>
      <c r="M35" s="19">
        <f t="shared" si="15"/>
        <v>5000</v>
      </c>
      <c r="N35" s="19">
        <f t="shared" si="16"/>
        <v>103269.714185544</v>
      </c>
    </row>
    <row r="36" spans="1:14" ht="12.75">
      <c r="A36">
        <f t="shared" si="17"/>
        <v>2001</v>
      </c>
      <c r="B36" s="13">
        <v>0.0481</v>
      </c>
      <c r="C36" s="13">
        <v>0.055</v>
      </c>
      <c r="E36" s="19">
        <f t="shared" si="11"/>
        <v>2000</v>
      </c>
      <c r="F36" s="19">
        <f t="shared" si="9"/>
        <v>16883.439150144</v>
      </c>
      <c r="G36" s="19">
        <v>10000</v>
      </c>
      <c r="H36" s="19">
        <f t="shared" si="10"/>
        <v>82633.03231049929</v>
      </c>
      <c r="I36" s="19"/>
      <c r="J36" s="19">
        <f t="shared" si="12"/>
        <v>2000</v>
      </c>
      <c r="K36" s="19">
        <f t="shared" si="13"/>
        <v>16883.439150144</v>
      </c>
      <c r="L36" s="19">
        <f t="shared" si="14"/>
        <v>10000</v>
      </c>
      <c r="M36" s="19">
        <f t="shared" si="15"/>
        <v>5000</v>
      </c>
      <c r="N36" s="19">
        <f t="shared" si="16"/>
        <v>123949.54846574891</v>
      </c>
    </row>
    <row r="37" spans="1:14" ht="12.75">
      <c r="A37">
        <f t="shared" si="17"/>
        <v>2002</v>
      </c>
      <c r="B37" s="13">
        <v>0.0216</v>
      </c>
      <c r="C37" s="13">
        <v>0.05</v>
      </c>
      <c r="E37" s="19">
        <v>3000</v>
      </c>
      <c r="F37" s="19">
        <f t="shared" si="9"/>
        <v>20727.6111076512</v>
      </c>
      <c r="G37" s="19">
        <v>11000</v>
      </c>
      <c r="H37" s="19">
        <f t="shared" si="10"/>
        <v>97764.68392602426</v>
      </c>
      <c r="I37" s="19"/>
      <c r="J37" s="19">
        <v>3000</v>
      </c>
      <c r="K37" s="19">
        <f t="shared" si="13"/>
        <v>20727.6111076512</v>
      </c>
      <c r="L37" s="19">
        <f t="shared" si="14"/>
        <v>11000</v>
      </c>
      <c r="M37" s="19">
        <f t="shared" si="15"/>
        <v>5500</v>
      </c>
      <c r="N37" s="19">
        <f t="shared" si="16"/>
        <v>146647.02588903636</v>
      </c>
    </row>
    <row r="38" spans="1:14" ht="12.75">
      <c r="A38">
        <f t="shared" si="17"/>
        <v>2003</v>
      </c>
      <c r="B38" s="13">
        <v>0.0136</v>
      </c>
      <c r="C38" s="13">
        <v>0.04</v>
      </c>
      <c r="E38" s="19">
        <f>E37</f>
        <v>3000</v>
      </c>
      <c r="F38" s="19">
        <f t="shared" si="9"/>
        <v>24556.715551957248</v>
      </c>
      <c r="G38" s="19">
        <v>12000</v>
      </c>
      <c r="H38" s="19">
        <f t="shared" si="10"/>
        <v>113675.27128306523</v>
      </c>
      <c r="I38" s="19"/>
      <c r="J38" s="19">
        <f>J37</f>
        <v>3000</v>
      </c>
      <c r="K38" s="19">
        <f t="shared" si="13"/>
        <v>24556.715551957248</v>
      </c>
      <c r="L38" s="19">
        <f t="shared" si="14"/>
        <v>12000</v>
      </c>
      <c r="M38" s="19">
        <f t="shared" si="15"/>
        <v>6000</v>
      </c>
      <c r="N38" s="19">
        <f t="shared" si="16"/>
        <v>170512.9069245978</v>
      </c>
    </row>
    <row r="39" spans="1:14" ht="12.75">
      <c r="A39">
        <f t="shared" si="17"/>
        <v>2004</v>
      </c>
      <c r="B39" s="13">
        <v>0.0124</v>
      </c>
      <c r="C39" s="13">
        <v>0.04</v>
      </c>
      <c r="E39" s="19">
        <f>E38</f>
        <v>3000</v>
      </c>
      <c r="F39" s="19">
        <f t="shared" si="9"/>
        <v>28538.984174035537</v>
      </c>
      <c r="G39" s="19">
        <v>13000</v>
      </c>
      <c r="H39" s="19">
        <f t="shared" si="10"/>
        <v>131222.28213438785</v>
      </c>
      <c r="I39" s="19"/>
      <c r="J39" s="19">
        <f>J38</f>
        <v>3000</v>
      </c>
      <c r="K39" s="19">
        <f t="shared" si="13"/>
        <v>28538.984174035537</v>
      </c>
      <c r="L39" s="19">
        <f t="shared" si="14"/>
        <v>13000</v>
      </c>
      <c r="M39" s="19">
        <f t="shared" si="15"/>
        <v>6500</v>
      </c>
      <c r="N39" s="19">
        <f t="shared" si="16"/>
        <v>196833.42320158173</v>
      </c>
    </row>
    <row r="40" spans="1:14" ht="12.75">
      <c r="A40">
        <f t="shared" si="17"/>
        <v>2005</v>
      </c>
      <c r="B40" s="13">
        <v>0.0286</v>
      </c>
      <c r="C40" s="13">
        <v>0.04</v>
      </c>
      <c r="E40" s="19">
        <v>4000</v>
      </c>
      <c r="F40" s="19">
        <f t="shared" si="9"/>
        <v>33680.54354099696</v>
      </c>
      <c r="G40" s="19">
        <v>14000</v>
      </c>
      <c r="H40" s="19">
        <f t="shared" si="10"/>
        <v>150471.17341976336</v>
      </c>
      <c r="I40" s="19"/>
      <c r="J40" s="19">
        <v>4000</v>
      </c>
      <c r="K40" s="19">
        <f t="shared" si="13"/>
        <v>33680.54354099696</v>
      </c>
      <c r="L40" s="19">
        <f t="shared" si="14"/>
        <v>14000</v>
      </c>
      <c r="M40" s="19">
        <f t="shared" si="15"/>
        <v>7000</v>
      </c>
      <c r="N40" s="19">
        <f t="shared" si="16"/>
        <v>225706.760129645</v>
      </c>
    </row>
    <row r="41" spans="1:14" ht="12.75">
      <c r="A41">
        <v>2006</v>
      </c>
      <c r="B41" s="13"/>
      <c r="C41" s="13"/>
      <c r="E41" s="19">
        <v>4000</v>
      </c>
      <c r="F41" s="19"/>
      <c r="G41" s="19">
        <v>15000</v>
      </c>
      <c r="H41" s="19"/>
      <c r="I41" s="19"/>
      <c r="J41" s="19"/>
      <c r="K41" s="19"/>
      <c r="L41" s="19">
        <f t="shared" si="14"/>
        <v>15000</v>
      </c>
      <c r="M41" s="19">
        <f t="shared" si="15"/>
        <v>7500</v>
      </c>
      <c r="N41" s="19"/>
    </row>
    <row r="42" spans="1:14" ht="12.75">
      <c r="A42" s="17" t="s">
        <v>139</v>
      </c>
      <c r="F42" s="5">
        <v>33000</v>
      </c>
      <c r="G42" s="5"/>
      <c r="H42" s="5">
        <v>150000</v>
      </c>
      <c r="I42" s="5"/>
      <c r="J42" s="5"/>
      <c r="K42" s="5">
        <v>33000</v>
      </c>
      <c r="L42" s="5"/>
      <c r="M42" s="5"/>
      <c r="N42" s="5">
        <v>225000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Saundra Gulley</dc:creator>
  <cp:keywords/>
  <dc:description/>
  <cp:lastModifiedBy>awitte</cp:lastModifiedBy>
  <cp:lastPrinted>2006-06-02T20:19:02Z</cp:lastPrinted>
  <dcterms:created xsi:type="dcterms:W3CDTF">2005-07-12T22:15:03Z</dcterms:created>
  <dcterms:modified xsi:type="dcterms:W3CDTF">2008-10-29T23:19:14Z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